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/>
  <mc:AlternateContent xmlns:mc="http://schemas.openxmlformats.org/markup-compatibility/2006">
    <mc:Choice Requires="x15">
      <x15ac:absPath xmlns:x15ac="http://schemas.microsoft.com/office/spreadsheetml/2010/11/ac" url="C:\Users\masestevez\Desktop\Documentos\Ciudad Nueva\Readecuacion\"/>
    </mc:Choice>
  </mc:AlternateContent>
  <xr:revisionPtr revIDLastSave="0" documentId="8_{0A1AC636-43B5-4959-8731-52B06CC2A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General" sheetId="2" r:id="rId1"/>
    <sheet name="Analisis" sheetId="3" r:id="rId2"/>
    <sheet name="Hoja1" sheetId="4" r:id="rId3"/>
  </sheets>
  <definedNames>
    <definedName name="_xlnm.Print_Area" localSheetId="0">'Presupuesto General'!$A$1:$G$106</definedName>
    <definedName name="_xlnm.Print_Titles" localSheetId="0">'Presupuesto General'!$1:$9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 l="1"/>
  <c r="C3" i="4"/>
  <c r="B3" i="4"/>
  <c r="D2" i="4"/>
  <c r="D4" i="4" s="1"/>
  <c r="C2" i="4"/>
  <c r="C4" i="4" s="1"/>
  <c r="B2" i="4"/>
  <c r="B4" i="4" s="1"/>
  <c r="G201" i="3"/>
  <c r="C200" i="3"/>
  <c r="G198" i="3"/>
  <c r="F198" i="3"/>
  <c r="H198" i="3" s="1"/>
  <c r="A194" i="3"/>
  <c r="C191" i="3"/>
  <c r="H188" i="3"/>
  <c r="G188" i="3"/>
  <c r="H187" i="3"/>
  <c r="G187" i="3"/>
  <c r="G186" i="3"/>
  <c r="F186" i="3"/>
  <c r="H186" i="3" s="1"/>
  <c r="G185" i="3"/>
  <c r="F185" i="3"/>
  <c r="H185" i="3" s="1"/>
  <c r="G184" i="3"/>
  <c r="F184" i="3"/>
  <c r="H184" i="3" s="1"/>
  <c r="A180" i="3"/>
  <c r="C177" i="3"/>
  <c r="E174" i="3"/>
  <c r="A170" i="3"/>
  <c r="C167" i="3"/>
  <c r="C165" i="3"/>
  <c r="C164" i="3"/>
  <c r="C163" i="3"/>
  <c r="C162" i="3"/>
  <c r="C161" i="3"/>
  <c r="C160" i="3"/>
  <c r="C159" i="3"/>
  <c r="C158" i="3"/>
  <c r="C157" i="3"/>
  <c r="C156" i="3"/>
  <c r="C155" i="3"/>
  <c r="A151" i="3"/>
  <c r="H145" i="3"/>
  <c r="G145" i="3"/>
  <c r="H144" i="3"/>
  <c r="G144" i="3"/>
  <c r="E148" i="3" s="1"/>
  <c r="G148" i="3" s="1"/>
  <c r="G141" i="3"/>
  <c r="F141" i="3"/>
  <c r="H141" i="3" s="1"/>
  <c r="G140" i="3"/>
  <c r="F140" i="3"/>
  <c r="H140" i="3" s="1"/>
  <c r="G139" i="3"/>
  <c r="F139" i="3"/>
  <c r="H139" i="3" s="1"/>
  <c r="G138" i="3"/>
  <c r="F138" i="3"/>
  <c r="H138" i="3" s="1"/>
  <c r="G137" i="3"/>
  <c r="F137" i="3"/>
  <c r="H137" i="3" s="1"/>
  <c r="G136" i="3"/>
  <c r="G149" i="3" s="1"/>
  <c r="F136" i="3"/>
  <c r="H136" i="3" s="1"/>
  <c r="H149" i="3" s="1"/>
  <c r="H132" i="3"/>
  <c r="G132" i="3"/>
  <c r="H129" i="3"/>
  <c r="G129" i="3"/>
  <c r="H128" i="3"/>
  <c r="G128" i="3"/>
  <c r="G125" i="3"/>
  <c r="F125" i="3"/>
  <c r="H125" i="3" s="1"/>
  <c r="G124" i="3"/>
  <c r="F124" i="3"/>
  <c r="H124" i="3" s="1"/>
  <c r="G123" i="3"/>
  <c r="F123" i="3"/>
  <c r="H123" i="3" s="1"/>
  <c r="G122" i="3"/>
  <c r="F122" i="3"/>
  <c r="H122" i="3" s="1"/>
  <c r="G121" i="3"/>
  <c r="F121" i="3"/>
  <c r="H121" i="3" s="1"/>
  <c r="G120" i="3"/>
  <c r="F120" i="3"/>
  <c r="H120" i="3" s="1"/>
  <c r="G119" i="3"/>
  <c r="F119" i="3"/>
  <c r="H119" i="3" s="1"/>
  <c r="G118" i="3"/>
  <c r="F118" i="3"/>
  <c r="H118" i="3" s="1"/>
  <c r="G117" i="3"/>
  <c r="G130" i="3" s="1"/>
  <c r="F117" i="3"/>
  <c r="H117" i="3" s="1"/>
  <c r="H130" i="3" s="1"/>
  <c r="H113" i="3"/>
  <c r="G113" i="3"/>
  <c r="H110" i="3"/>
  <c r="G110" i="3"/>
  <c r="G108" i="3"/>
  <c r="H107" i="3"/>
  <c r="G107" i="3"/>
  <c r="H106" i="3"/>
  <c r="G106" i="3"/>
  <c r="H105" i="3"/>
  <c r="G105" i="3"/>
  <c r="H104" i="3"/>
  <c r="G104" i="3"/>
  <c r="H103" i="3"/>
  <c r="G103" i="3"/>
  <c r="G102" i="3"/>
  <c r="F102" i="3"/>
  <c r="H102" i="3" s="1"/>
  <c r="G101" i="3"/>
  <c r="G111" i="3" s="1"/>
  <c r="F101" i="3"/>
  <c r="H101" i="3" s="1"/>
  <c r="H111" i="3" s="1"/>
  <c r="H97" i="3"/>
  <c r="G97" i="3"/>
  <c r="H94" i="3"/>
  <c r="G94" i="3"/>
  <c r="G92" i="3"/>
  <c r="H91" i="3"/>
  <c r="G91" i="3"/>
  <c r="H90" i="3"/>
  <c r="G90" i="3"/>
  <c r="H89" i="3"/>
  <c r="G89" i="3"/>
  <c r="G88" i="3"/>
  <c r="F88" i="3"/>
  <c r="H88" i="3" s="1"/>
  <c r="C87" i="3"/>
  <c r="H80" i="3"/>
  <c r="G80" i="3"/>
  <c r="G78" i="3"/>
  <c r="H77" i="3"/>
  <c r="G77" i="3"/>
  <c r="C76" i="3"/>
  <c r="G75" i="3"/>
  <c r="F75" i="3"/>
  <c r="H75" i="3" s="1"/>
  <c r="C74" i="3"/>
  <c r="H67" i="3"/>
  <c r="G67" i="3"/>
  <c r="G65" i="3"/>
  <c r="H64" i="3"/>
  <c r="G64" i="3"/>
  <c r="H63" i="3"/>
  <c r="G63" i="3"/>
  <c r="H62" i="3"/>
  <c r="G62" i="3"/>
  <c r="H61" i="3"/>
  <c r="G61" i="3"/>
  <c r="H60" i="3"/>
  <c r="G60" i="3"/>
  <c r="C59" i="3"/>
  <c r="A55" i="3"/>
  <c r="H52" i="3"/>
  <c r="G52" i="3"/>
  <c r="G50" i="3"/>
  <c r="H49" i="3"/>
  <c r="G49" i="3"/>
  <c r="C48" i="3"/>
  <c r="C47" i="3"/>
  <c r="G46" i="3"/>
  <c r="F46" i="3"/>
  <c r="H46" i="3" s="1"/>
  <c r="G45" i="3"/>
  <c r="F45" i="3"/>
  <c r="H45" i="3" s="1"/>
  <c r="C44" i="3"/>
  <c r="H37" i="3"/>
  <c r="G37" i="3"/>
  <c r="G35" i="3"/>
  <c r="H34" i="3"/>
  <c r="G34" i="3"/>
  <c r="C33" i="3"/>
  <c r="C32" i="3"/>
  <c r="H31" i="3"/>
  <c r="G31" i="3"/>
  <c r="H30" i="3"/>
  <c r="G30" i="3"/>
  <c r="C29" i="3"/>
  <c r="A25" i="3"/>
  <c r="A40" i="3" s="1"/>
  <c r="H22" i="3"/>
  <c r="G22" i="3"/>
  <c r="G20" i="3"/>
  <c r="H19" i="3"/>
  <c r="G19" i="3"/>
  <c r="C18" i="3"/>
  <c r="C17" i="3"/>
  <c r="H16" i="3"/>
  <c r="G16" i="3"/>
  <c r="H15" i="3"/>
  <c r="G15" i="3"/>
  <c r="C14" i="3"/>
  <c r="H8" i="3"/>
  <c r="H4" i="3"/>
  <c r="G4" i="3"/>
  <c r="H1" i="3"/>
  <c r="F52" i="2"/>
  <c r="F51" i="2"/>
  <c r="F50" i="2"/>
  <c r="F49" i="2"/>
  <c r="F48" i="2"/>
  <c r="F47" i="2"/>
  <c r="F46" i="2"/>
  <c r="F45" i="2"/>
  <c r="F44" i="2"/>
  <c r="A44" i="2"/>
  <c r="A45" i="2" s="1"/>
  <c r="A46" i="2" s="1"/>
  <c r="A47" i="2" s="1"/>
  <c r="A48" i="2" s="1"/>
  <c r="A49" i="2" s="1"/>
  <c r="A50" i="2" s="1"/>
  <c r="A51" i="2" s="1"/>
  <c r="A52" i="2" s="1"/>
  <c r="F40" i="2"/>
  <c r="F39" i="2"/>
  <c r="F38" i="2"/>
  <c r="A38" i="2"/>
  <c r="A39" i="2" s="1"/>
  <c r="A40" i="2" s="1"/>
  <c r="F34" i="2"/>
  <c r="F33" i="2"/>
  <c r="F32" i="2"/>
  <c r="F31" i="2"/>
  <c r="F30" i="2"/>
  <c r="F29" i="2"/>
  <c r="F28" i="2"/>
  <c r="F27" i="2"/>
  <c r="F26" i="2"/>
  <c r="F25" i="2"/>
  <c r="F24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F20" i="2"/>
  <c r="F19" i="2"/>
  <c r="F18" i="2"/>
  <c r="F17" i="2"/>
  <c r="F16" i="2"/>
  <c r="F15" i="2"/>
  <c r="F14" i="2"/>
  <c r="C13" i="2"/>
  <c r="F13" i="2" s="1"/>
  <c r="C12" i="2"/>
  <c r="F12" i="2" s="1"/>
  <c r="F1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E7" i="3" l="1"/>
  <c r="G7" i="3" s="1"/>
  <c r="G8" i="3" s="1"/>
  <c r="H14" i="3"/>
  <c r="G14" i="3"/>
  <c r="H17" i="3"/>
  <c r="G17" i="3"/>
  <c r="H18" i="3"/>
  <c r="G18" i="3"/>
  <c r="H29" i="3"/>
  <c r="G29" i="3"/>
  <c r="H32" i="3"/>
  <c r="G32" i="3"/>
  <c r="H33" i="3"/>
  <c r="G33" i="3"/>
  <c r="H44" i="3"/>
  <c r="G44" i="3"/>
  <c r="H47" i="3"/>
  <c r="G47" i="3"/>
  <c r="H48" i="3"/>
  <c r="G48" i="3"/>
  <c r="H59" i="3"/>
  <c r="H68" i="3" s="1"/>
  <c r="H55" i="3" s="1"/>
  <c r="G59" i="3"/>
  <c r="G68" i="3" s="1"/>
  <c r="H74" i="3"/>
  <c r="G74" i="3"/>
  <c r="H76" i="3"/>
  <c r="G76" i="3"/>
  <c r="H87" i="3"/>
  <c r="H95" i="3" s="1"/>
  <c r="H83" i="3" s="1"/>
  <c r="G87" i="3"/>
  <c r="G95" i="3" s="1"/>
  <c r="I97" i="3"/>
  <c r="I111" i="3"/>
  <c r="I113" i="3"/>
  <c r="I130" i="3"/>
  <c r="I132" i="3"/>
  <c r="I149" i="3"/>
  <c r="H155" i="3"/>
  <c r="G155" i="3"/>
  <c r="H156" i="3"/>
  <c r="G156" i="3"/>
  <c r="H157" i="3"/>
  <c r="G157" i="3"/>
  <c r="H158" i="3"/>
  <c r="G158" i="3"/>
  <c r="H159" i="3"/>
  <c r="G159" i="3"/>
  <c r="H160" i="3"/>
  <c r="G160" i="3"/>
  <c r="H161" i="3"/>
  <c r="G161" i="3"/>
  <c r="H162" i="3"/>
  <c r="G162" i="3"/>
  <c r="H163" i="3"/>
  <c r="G163" i="3"/>
  <c r="H164" i="3"/>
  <c r="G164" i="3"/>
  <c r="H165" i="3"/>
  <c r="G165" i="3"/>
  <c r="H167" i="3"/>
  <c r="G167" i="3"/>
  <c r="G174" i="3"/>
  <c r="F174" i="3"/>
  <c r="H174" i="3" s="1"/>
  <c r="H177" i="3"/>
  <c r="G177" i="3"/>
  <c r="H191" i="3"/>
  <c r="H192" i="3" s="1"/>
  <c r="H180" i="3" s="1"/>
  <c r="G191" i="3"/>
  <c r="G192" i="3" s="1"/>
  <c r="H200" i="3"/>
  <c r="H202" i="3" s="1"/>
  <c r="H194" i="3" s="1"/>
  <c r="G200" i="3"/>
  <c r="G202" i="3" s="1"/>
  <c r="E4" i="4"/>
  <c r="F4" i="4" s="1"/>
  <c r="G53" i="2"/>
  <c r="G41" i="2"/>
  <c r="G35" i="2"/>
  <c r="G21" i="2"/>
  <c r="I202" i="3" l="1"/>
  <c r="G194" i="3"/>
  <c r="I194" i="3"/>
  <c r="I192" i="3"/>
  <c r="G180" i="3"/>
  <c r="I180" i="3"/>
  <c r="H178" i="3"/>
  <c r="H170" i="3" s="1"/>
  <c r="G178" i="3"/>
  <c r="G168" i="3"/>
  <c r="H168" i="3"/>
  <c r="H151" i="3" s="1"/>
  <c r="I95" i="3"/>
  <c r="G83" i="3"/>
  <c r="I83" i="3"/>
  <c r="G81" i="3"/>
  <c r="H81" i="3"/>
  <c r="H70" i="3" s="1"/>
  <c r="I68" i="3"/>
  <c r="G55" i="3"/>
  <c r="I55" i="3"/>
  <c r="G53" i="3"/>
  <c r="H53" i="3"/>
  <c r="H40" i="3" s="1"/>
  <c r="G38" i="3"/>
  <c r="H38" i="3"/>
  <c r="H25" i="3" s="1"/>
  <c r="G23" i="3"/>
  <c r="H23" i="3"/>
  <c r="H10" i="3" s="1"/>
  <c r="I8" i="3"/>
  <c r="G1" i="3"/>
  <c r="I1" i="3" s="1"/>
  <c r="G55" i="2"/>
  <c r="G70" i="2" s="1"/>
  <c r="I23" i="3" l="1"/>
  <c r="G10" i="3"/>
  <c r="I10" i="3" s="1"/>
  <c r="I38" i="3"/>
  <c r="G25" i="3"/>
  <c r="I25" i="3" s="1"/>
  <c r="I53" i="3"/>
  <c r="G40" i="3"/>
  <c r="I40" i="3" s="1"/>
  <c r="I81" i="3"/>
  <c r="G70" i="3"/>
  <c r="I70" i="3" s="1"/>
  <c r="I168" i="3"/>
  <c r="G151" i="3"/>
  <c r="I151" i="3" s="1"/>
  <c r="I178" i="3"/>
  <c r="G170" i="3"/>
  <c r="I170" i="3"/>
  <c r="G71" i="2"/>
  <c r="G72" i="2"/>
  <c r="G61" i="2"/>
  <c r="G73" i="2"/>
  <c r="G62" i="2"/>
  <c r="G60" i="2"/>
  <c r="G79" i="2"/>
  <c r="G74" i="2"/>
  <c r="G63" i="2" l="1"/>
  <c r="G65" i="2" s="1"/>
  <c r="G67" i="2" s="1"/>
  <c r="G69" i="2" s="1"/>
  <c r="G75" i="2" s="1"/>
  <c r="G77" i="2" s="1"/>
  <c r="G81" i="2" s="1"/>
</calcChain>
</file>

<file path=xl/sharedStrings.xml><?xml version="1.0" encoding="utf-8"?>
<sst xmlns="http://schemas.openxmlformats.org/spreadsheetml/2006/main" count="405" uniqueCount="171">
  <si>
    <t>OBRA:</t>
  </si>
  <si>
    <t>READECUACION DEL PALACIO DE JUSTICIA DE CIUDAD NUEVA</t>
  </si>
  <si>
    <t>UBIC.:</t>
  </si>
  <si>
    <t>PALACIO DE JUSTICIA DE CIUDAD NUEVA, DISTRITO NACIONAL</t>
  </si>
  <si>
    <t>Part.</t>
  </si>
  <si>
    <t>Descripción</t>
  </si>
  <si>
    <t>Cant.</t>
  </si>
  <si>
    <t>Ud.</t>
  </si>
  <si>
    <t>Precio</t>
  </si>
  <si>
    <t>Valor  ($RD)</t>
  </si>
  <si>
    <t xml:space="preserve">PRELIMINARES </t>
  </si>
  <si>
    <t xml:space="preserve">Retiro de mosaicos en granito existentes </t>
  </si>
  <si>
    <r>
      <t>m</t>
    </r>
    <r>
      <rPr>
        <sz val="11"/>
        <rFont val="Calibri"/>
        <family val="2"/>
      </rPr>
      <t>²</t>
    </r>
  </si>
  <si>
    <t>Demolición a mano de escaleras existentes (Huellas, contra huellas y descansos)</t>
  </si>
  <si>
    <t>Demolición a mano de pasamanos en granito existentes</t>
  </si>
  <si>
    <t xml:space="preserve">Retiro de revestimiento en marmol de muros </t>
  </si>
  <si>
    <t xml:space="preserve">Demolicion y desmonte de counters existentes </t>
  </si>
  <si>
    <t>pa</t>
  </si>
  <si>
    <t xml:space="preserve">Desmonte de plafones existentes </t>
  </si>
  <si>
    <t>Desmonte de luminaria existente</t>
  </si>
  <si>
    <t>ud</t>
  </si>
  <si>
    <t>Demolicion de falsa columna en densglass</t>
  </si>
  <si>
    <t>ml</t>
  </si>
  <si>
    <t>Retiro de ventana rota en baño</t>
  </si>
  <si>
    <t>Traslado y bote de escombros (Incluye el traslado hasta el punto de acopio)</t>
  </si>
  <si>
    <t>pu</t>
  </si>
  <si>
    <t>Sub-total</t>
  </si>
  <si>
    <t xml:space="preserve">REVESTIMIENTOS </t>
  </si>
  <si>
    <t>Suministro y colocacion de piso en granito 30x30 cm fondo verde, similar al existente</t>
  </si>
  <si>
    <t xml:space="preserve">Suministro y colocacion de piso en granito 30x30 cm fondo negro, similar al existente </t>
  </si>
  <si>
    <t>Suministro y colocación de escaleras en granito fondo gris huellas 0.30m. Contra huella 0.17m, similar al existente</t>
  </si>
  <si>
    <t>Suministro y colocación de escaleras en granito fondo crema huellas 0.30m. Contra huella 0.17m, similar al existente</t>
  </si>
  <si>
    <t>Suministro y colocación de escaleras en granito fondo negro huellas 0.30m. Contra huella 0.17m, similar al existente</t>
  </si>
  <si>
    <t>Suministro y colocacion de piso en granito 30x30 cm fondo crema, para descansos de escaleras</t>
  </si>
  <si>
    <t xml:space="preserve">Suministro y colocación de pasamanos en granito, fondo negro  0.25 m de ancho y 7 cm de espesor. </t>
  </si>
  <si>
    <t xml:space="preserve">Suministro y colocacion de mosaicos vibrazo 40x40 cm en granito, fondo verde, similares a los existentes </t>
  </si>
  <si>
    <t>Suministro y colocacion de revestimiento en muros de marmol 30x60 cm, colores claros similares a los existentes</t>
  </si>
  <si>
    <t>Pulido y cristalizado de revestimiento en muros de marmol con pulidora manual y  discos de resina de diamante (Incluye limpieza y preparacion de superficie y protección de superficie al finalizar)</t>
  </si>
  <si>
    <t>Lavado profundo con equipo de pisos en mosaicos vibrazo en granito</t>
  </si>
  <si>
    <t>CONSTRUCCION LIGERA</t>
  </si>
  <si>
    <t>Suministro e Instalación de Plafón 2x2' x 7mm vinil yeso (incluye estructura en metal Maint Tee y Cross Tee)</t>
  </si>
  <si>
    <t>Suministro e Instalación de Plafón pvc machihembrado color caoba similar al existente. tablones de 5x84”.</t>
  </si>
  <si>
    <t>Suministro e instalación de falsa columna de Dens-glass, una cara</t>
  </si>
  <si>
    <t xml:space="preserve">MISCELANEOS </t>
  </si>
  <si>
    <t xml:space="preserve">Suministro y colocacion de cristal roto en ventana de baño de caballeros 35x90 cm </t>
  </si>
  <si>
    <t>Ajuste de cristal  de fachada de ascensor despegado</t>
  </si>
  <si>
    <t xml:space="preserve">Reparación de puerta de entrada existente. Puerta abatible de cristal con marco de aluminio color negro. </t>
  </si>
  <si>
    <t>Suministro e instalación de lámparas parabólicas de superficies 2x2' con tubos LED T8, de 18w 24", 800LM</t>
  </si>
  <si>
    <t>Suministro y colocación de cinta antideslizante negra en escaleras</t>
  </si>
  <si>
    <t>Suministro e instalacion de lamparas LED de riel, incluye un riel de 8 pies, color negro con 4 lamparas LED negras de 20 W, color de luz blanco natural (4000 K), con un voltaje de 100 a 260 v. (Incluye salidas electricas)</t>
  </si>
  <si>
    <t>Suministro y colocacion de baranda en hierro negro, barra rendonda de 1 1/2" para mural en lobby</t>
  </si>
  <si>
    <t>Suministro y colocacion de pintura satinada en muros, 2 manos (incluye preparacion de superficies)</t>
  </si>
  <si>
    <t xml:space="preserve">Limpieza continua y final 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</si>
  <si>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</si>
  <si>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</si>
  <si>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</si>
  <si>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</si>
  <si>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</si>
  <si>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</si>
  <si>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</si>
  <si>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</si>
  <si>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</si>
  <si>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</si>
  <si>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</si>
  <si>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</si>
  <si>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</si>
  <si>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</si>
  <si>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</si>
  <si>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</si>
  <si>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</si>
  <si>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</si>
  <si>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</si>
  <si>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Demolición de Mosaicos Existentes</t>
  </si>
  <si>
    <t>m2</t>
  </si>
  <si>
    <t xml:space="preserve">Mano de Obra </t>
  </si>
  <si>
    <t>Peón o Trabajador no calificado (2 Personas)</t>
  </si>
  <si>
    <t>dia</t>
  </si>
  <si>
    <t>Herramientas</t>
  </si>
  <si>
    <t>15% mano de obra</t>
  </si>
  <si>
    <t>%</t>
  </si>
  <si>
    <t>Total/UND</t>
  </si>
  <si>
    <t>ESCALON  GRANITO  FONDO GRIS</t>
  </si>
  <si>
    <t>ML</t>
  </si>
  <si>
    <t>Volumen Análisis</t>
  </si>
  <si>
    <t>Materiales y Equipos</t>
  </si>
  <si>
    <t>Mortero 1:10 pisos + 10% desp.</t>
  </si>
  <si>
    <t>M3</t>
  </si>
  <si>
    <t>Huella redondeada de 0.30m en granito + 10%</t>
  </si>
  <si>
    <t>Contrahuella de 0.17m en granito + 10% desp</t>
  </si>
  <si>
    <t>Derretido Keracolor 25 lbs + 10% desp.</t>
  </si>
  <si>
    <t>FDA</t>
  </si>
  <si>
    <t>Estopa</t>
  </si>
  <si>
    <t>LB</t>
  </si>
  <si>
    <t>Pulido y cristalizado de pisos</t>
  </si>
  <si>
    <t>M2</t>
  </si>
  <si>
    <t>Transporte de pisos (3%)</t>
  </si>
  <si>
    <t>PA</t>
  </si>
  <si>
    <t>Mano de obra</t>
  </si>
  <si>
    <t>Mano de Obra de colocación escalón</t>
  </si>
  <si>
    <t>ESCALON  GRANITO  FONDO CREMA</t>
  </si>
  <si>
    <t>ESCALON  GRANITO  FONDO NEGRO</t>
  </si>
  <si>
    <t>GRANITO 30x30, FONDO CREMA</t>
  </si>
  <si>
    <t>Granito 30x30 fondo blanco + 10% desp.</t>
  </si>
  <si>
    <t xml:space="preserve">Corte de Chazos Granito </t>
  </si>
  <si>
    <t>UND</t>
  </si>
  <si>
    <t xml:space="preserve">Mano de Obra de colocación de Granito </t>
  </si>
  <si>
    <t>PASAMANOS EN  GRANITO  FONDO NEGRO</t>
  </si>
  <si>
    <t>Pasamanos redondeado de 0.25m en granito con fondo negro + 10%</t>
  </si>
  <si>
    <t>MOSAICOS DE GRANITO (VIBRAZO) 40x40, FONDO VERDE</t>
  </si>
  <si>
    <t>Granito 40x40 fondo verde + 10% desp.</t>
  </si>
  <si>
    <t>Mano de Obra de colocación de Granito</t>
  </si>
  <si>
    <t>REVESTIMIENTO DE MARMOL 0.30x0.60m</t>
  </si>
  <si>
    <t>Marmol + 10% desperdicio</t>
  </si>
  <si>
    <t>Pegamento de cerámica Pegatod</t>
  </si>
  <si>
    <t>Cemento gris</t>
  </si>
  <si>
    <t xml:space="preserve">Estopa </t>
  </si>
  <si>
    <t xml:space="preserve">Corte de Chazos </t>
  </si>
  <si>
    <t xml:space="preserve">Separadores </t>
  </si>
  <si>
    <t>Transporte de marmol (3%)</t>
  </si>
  <si>
    <t>Mano de Obra de colocación de marmol</t>
  </si>
  <si>
    <t>PLAFON VINIL YESO 2"X2"</t>
  </si>
  <si>
    <t>Plancha vinil yeso 7mm 2x4´</t>
  </si>
  <si>
    <t>Crosstee de 4´</t>
  </si>
  <si>
    <t>Croostee de 2´</t>
  </si>
  <si>
    <t>Main tee 12 (caja)</t>
  </si>
  <si>
    <t>Angular comercial de 10 (caja)</t>
  </si>
  <si>
    <t>Clavos para angulares</t>
  </si>
  <si>
    <t>Fulminates - Green Shots Caja de 100unds</t>
  </si>
  <si>
    <t>Clavo de acero para plafon cajita</t>
  </si>
  <si>
    <t>Alambre liso en rollo cal. 18</t>
  </si>
  <si>
    <t>rollo</t>
  </si>
  <si>
    <t xml:space="preserve">Mano de obra  </t>
  </si>
  <si>
    <t>Mano de obra instalacion de plafon</t>
  </si>
  <si>
    <t>Subida de material</t>
  </si>
  <si>
    <t>PLAFON MACHIHEMBRADO MADERA PVC COLOR CAOBA</t>
  </si>
  <si>
    <t>Tablobes machihembrado de PVC color caoba 5" x 84"</t>
  </si>
  <si>
    <t>Angular permietral  comercial de 12`</t>
  </si>
  <si>
    <t>Perfil CGM 1 5/8 x 10`</t>
  </si>
  <si>
    <t>5% mano de obra</t>
  </si>
  <si>
    <t>FALSA COLUMNAEXTERIOR EN DENGLASS - 1 CARA</t>
  </si>
  <si>
    <t>Plancha dens glass Gold 1/2" x 4 x 8 pies</t>
  </si>
  <si>
    <t>Parales - Studs 2-1/2" x 10 C22</t>
  </si>
  <si>
    <t>Durmientes - Tracks 2-1/2" x 8 C20</t>
  </si>
  <si>
    <t>Cinta Durock 2" 300PL</t>
  </si>
  <si>
    <t>Mortero para empañete Cementín</t>
  </si>
  <si>
    <t>Clavos 1-1/4" con arandelas Caja de 100unds</t>
  </si>
  <si>
    <t>Tornillos 6 x 1-1/4" LBS 293 Torn/LB</t>
  </si>
  <si>
    <t>Tornillos 7 x 7/16" LBS 354 Torn/LB</t>
  </si>
  <si>
    <t>Esquinero en vinil 10 PL</t>
  </si>
  <si>
    <t>Andamios</t>
  </si>
  <si>
    <t>Mano de obra r Dens Glass</t>
  </si>
  <si>
    <t>CINTA ANTIDESLIZANTE NEGRA</t>
  </si>
  <si>
    <t>Cinta antidesliz para escalera negra</t>
  </si>
  <si>
    <t>Mano de obra instalacion</t>
  </si>
  <si>
    <t>SUMINISTRO E INSTALACION DE RIEL CON LUZ LED</t>
  </si>
  <si>
    <t>Rieles para lampara led negra de 8´</t>
  </si>
  <si>
    <t>Lamparas led de riel 20 w negra</t>
  </si>
  <si>
    <t>Tapas para rieles de lampara led</t>
  </si>
  <si>
    <t>Salidas electricas en EMT</t>
  </si>
  <si>
    <t xml:space="preserve">Mano de obra instalacion de lamparas </t>
  </si>
  <si>
    <t>PINTURA SATINADA UPERIOR INT/EXT</t>
  </si>
  <si>
    <t>Suministro pintura</t>
  </si>
  <si>
    <t>GL</t>
  </si>
  <si>
    <t>Mano de Obra</t>
  </si>
  <si>
    <t>Preparación de superficie y aplicación 2 manos</t>
  </si>
  <si>
    <t>Desperdicios, retoques y material gastable - 20%</t>
  </si>
  <si>
    <t>1er nivel</t>
  </si>
  <si>
    <t>2do nivel</t>
  </si>
  <si>
    <t>3er nivel</t>
  </si>
  <si>
    <t>Area de marmol</t>
  </si>
  <si>
    <t>Escaleras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</si>
</sst>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  <numFmt numFmtId="170" formatCode="0.000"/>
    <numFmt numFmtId="171" formatCode="0.0%"/>
    <numFmt numFmtId="172" formatCode="0.000%"/>
    <numFmt numFmtId="173" formatCode="[$$-2C0A]\ #,##0.00"/>
    <numFmt numFmtId="174" formatCode="&quot;RD$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64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MS Sans Serif"/>
      <family val="2"/>
    </font>
    <font>
      <sz val="12"/>
      <color theme="0"/>
      <name val="Times New Roman"/>
      <family val="1"/>
    </font>
    <font>
      <sz val="11"/>
      <color theme="1" tint="0.34998626667073579"/>
      <name val="Arial"/>
      <family val="2"/>
    </font>
    <font>
      <sz val="9"/>
      <color indexed="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67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66" fontId="3" fillId="0" borderId="0" xfId="1" applyNumberFormat="1" applyFont="1" applyFill="1" applyAlignment="1">
      <alignment horizontal="right"/>
    </xf>
    <xf numFmtId="0" fontId="2" fillId="0" borderId="0" xfId="0" applyFont="1"/>
    <xf numFmtId="166" fontId="3" fillId="0" borderId="0" xfId="1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4" fontId="7" fillId="0" borderId="0" xfId="0" applyNumberFormat="1" applyFont="1" applyAlignment="1">
      <alignment horizontal="left" vertical="center"/>
    </xf>
    <xf numFmtId="166" fontId="7" fillId="0" borderId="0" xfId="1" applyNumberFormat="1" applyFont="1" applyFill="1" applyBorder="1" applyAlignment="1">
      <alignment horizontal="left"/>
    </xf>
    <xf numFmtId="165" fontId="8" fillId="0" borderId="0" xfId="0" applyNumberFormat="1" applyFont="1" applyAlignment="1">
      <alignment horizontal="right" vertical="top"/>
    </xf>
    <xf numFmtId="167" fontId="8" fillId="0" borderId="0" xfId="1" applyNumberFormat="1" applyFont="1" applyFill="1" applyAlignment="1">
      <alignment horizontal="left"/>
    </xf>
    <xf numFmtId="0" fontId="11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2" fontId="6" fillId="0" borderId="0" xfId="0" applyNumberFormat="1" applyFont="1" applyAlignment="1">
      <alignment horizontal="right" vertical="center"/>
    </xf>
    <xf numFmtId="0" fontId="20" fillId="0" borderId="0" xfId="0" applyFont="1"/>
    <xf numFmtId="2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8" fontId="14" fillId="4" borderId="2" xfId="0" applyNumberFormat="1" applyFont="1" applyFill="1" applyBorder="1" applyAlignment="1">
      <alignment horizontal="right" vertical="center"/>
    </xf>
    <xf numFmtId="2" fontId="7" fillId="4" borderId="3" xfId="0" applyNumberFormat="1" applyFont="1" applyFill="1" applyBorder="1" applyAlignment="1">
      <alignment vertical="center"/>
    </xf>
    <xf numFmtId="4" fontId="7" fillId="4" borderId="3" xfId="1" applyNumberFormat="1" applyFont="1" applyFill="1" applyBorder="1" applyAlignment="1">
      <alignment horizontal="center" vertical="center"/>
    </xf>
    <xf numFmtId="165" fontId="7" fillId="4" borderId="3" xfId="1" applyFont="1" applyFill="1" applyBorder="1" applyAlignment="1">
      <alignment horizontal="center" vertical="center"/>
    </xf>
    <xf numFmtId="40" fontId="7" fillId="4" borderId="3" xfId="1" applyNumberFormat="1" applyFont="1" applyFill="1" applyBorder="1" applyAlignment="1">
      <alignment horizontal="right" vertical="center"/>
    </xf>
    <xf numFmtId="169" fontId="7" fillId="4" borderId="8" xfId="2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169" fontId="8" fillId="4" borderId="7" xfId="2" applyNumberFormat="1" applyFont="1" applyFill="1" applyBorder="1" applyAlignment="1">
      <alignment horizontal="right" vertical="center"/>
    </xf>
    <xf numFmtId="10" fontId="9" fillId="0" borderId="0" xfId="8" applyNumberFormat="1" applyFont="1" applyAlignment="1"/>
    <xf numFmtId="2" fontId="8" fillId="6" borderId="11" xfId="0" applyNumberFormat="1" applyFont="1" applyFill="1" applyBorder="1" applyAlignment="1">
      <alignment vertical="center"/>
    </xf>
    <xf numFmtId="2" fontId="8" fillId="6" borderId="11" xfId="0" applyNumberFormat="1" applyFont="1" applyFill="1" applyBorder="1" applyAlignment="1">
      <alignment horizontal="center" vertical="center"/>
    </xf>
    <xf numFmtId="169" fontId="8" fillId="6" borderId="12" xfId="6" applyFont="1" applyFill="1" applyBorder="1" applyAlignment="1">
      <alignment horizontal="right"/>
    </xf>
    <xf numFmtId="165" fontId="0" fillId="0" borderId="0" xfId="0" applyNumberFormat="1"/>
    <xf numFmtId="9" fontId="8" fillId="6" borderId="11" xfId="7" applyFont="1" applyFill="1" applyBorder="1" applyAlignment="1">
      <alignment vertical="center"/>
    </xf>
    <xf numFmtId="0" fontId="4" fillId="0" borderId="0" xfId="3"/>
    <xf numFmtId="0" fontId="5" fillId="0" borderId="0" xfId="3" applyFont="1" applyAlignment="1">
      <alignment horizontal="center"/>
    </xf>
    <xf numFmtId="168" fontId="14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4" fontId="7" fillId="0" borderId="0" xfId="1" applyNumberFormat="1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169" fontId="7" fillId="0" borderId="0" xfId="2" applyNumberFormat="1" applyFont="1" applyFill="1" applyBorder="1" applyAlignment="1">
      <alignment horizontal="right" vertical="center"/>
    </xf>
    <xf numFmtId="2" fontId="17" fillId="3" borderId="1" xfId="0" applyNumberFormat="1" applyFont="1" applyFill="1" applyBorder="1" applyAlignment="1">
      <alignment horizontal="center" vertical="center"/>
    </xf>
    <xf numFmtId="169" fontId="8" fillId="6" borderId="8" xfId="6" applyFont="1" applyFill="1" applyBorder="1" applyAlignment="1">
      <alignment horizontal="right"/>
    </xf>
    <xf numFmtId="0" fontId="23" fillId="0" borderId="2" xfId="0" applyFont="1" applyBorder="1" applyAlignment="1">
      <alignment wrapText="1"/>
    </xf>
    <xf numFmtId="2" fontId="23" fillId="0" borderId="3" xfId="0" applyNumberFormat="1" applyFont="1" applyBorder="1" applyAlignment="1">
      <alignment horizontal="center"/>
    </xf>
    <xf numFmtId="174" fontId="23" fillId="0" borderId="3" xfId="0" applyNumberFormat="1" applyFont="1" applyBorder="1" applyAlignment="1">
      <alignment horizontal="center"/>
    </xf>
    <xf numFmtId="174" fontId="24" fillId="0" borderId="8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2" fontId="23" fillId="0" borderId="0" xfId="0" applyNumberFormat="1" applyFont="1" applyAlignment="1">
      <alignment horizontal="center"/>
    </xf>
    <xf numFmtId="174" fontId="23" fillId="0" borderId="0" xfId="0" applyNumberFormat="1" applyFont="1" applyAlignment="1">
      <alignment horizontal="center"/>
    </xf>
    <xf numFmtId="174" fontId="24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170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4" fontId="26" fillId="0" borderId="0" xfId="0" applyNumberFormat="1" applyFont="1" applyAlignment="1">
      <alignment horizontal="center"/>
    </xf>
    <xf numFmtId="0" fontId="26" fillId="0" borderId="0" xfId="0" applyFont="1"/>
    <xf numFmtId="2" fontId="23" fillId="0" borderId="1" xfId="0" applyNumberFormat="1" applyFont="1" applyBorder="1" applyAlignment="1">
      <alignment vertical="top"/>
    </xf>
    <xf numFmtId="2" fontId="23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2" fontId="14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165" fontId="14" fillId="0" borderId="14" xfId="1" applyFont="1" applyFill="1" applyBorder="1" applyAlignment="1">
      <alignment horizontal="center" vertical="center"/>
    </xf>
    <xf numFmtId="165" fontId="14" fillId="0" borderId="14" xfId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8" fillId="0" borderId="0" xfId="0" applyFont="1"/>
    <xf numFmtId="0" fontId="23" fillId="0" borderId="0" xfId="0" applyFont="1" applyAlignment="1">
      <alignment vertical="top"/>
    </xf>
    <xf numFmtId="165" fontId="3" fillId="0" borderId="0" xfId="1" applyFont="1" applyAlignment="1">
      <alignment horizontal="center"/>
    </xf>
    <xf numFmtId="165" fontId="1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0" fontId="7" fillId="0" borderId="0" xfId="1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169" fontId="8" fillId="6" borderId="12" xfId="6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2" fontId="23" fillId="0" borderId="3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74" fontId="24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174" fontId="2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14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4" fontId="26" fillId="0" borderId="0" xfId="0" applyNumberFormat="1" applyFont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65" fontId="14" fillId="0" borderId="7" xfId="1" applyFont="1" applyFill="1" applyBorder="1" applyAlignment="1">
      <alignment horizontal="right" vertical="center"/>
    </xf>
    <xf numFmtId="165" fontId="14" fillId="0" borderId="4" xfId="1" applyFont="1" applyFill="1" applyBorder="1" applyAlignment="1">
      <alignment horizontal="center" vertical="center"/>
    </xf>
    <xf numFmtId="165" fontId="14" fillId="0" borderId="4" xfId="1" applyFont="1" applyFill="1" applyBorder="1" applyAlignment="1">
      <alignment horizontal="right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173" fontId="14" fillId="0" borderId="1" xfId="0" applyNumberFormat="1" applyFont="1" applyBorder="1" applyAlignment="1">
      <alignment vertical="center" wrapText="1"/>
    </xf>
    <xf numFmtId="165" fontId="14" fillId="0" borderId="10" xfId="1" applyFont="1" applyFill="1" applyBorder="1" applyAlignment="1">
      <alignment horizontal="right" vertical="center"/>
    </xf>
    <xf numFmtId="165" fontId="14" fillId="0" borderId="1" xfId="1" applyFont="1" applyFill="1" applyBorder="1" applyAlignment="1">
      <alignment horizontal="right" vertical="center"/>
    </xf>
    <xf numFmtId="173" fontId="14" fillId="0" borderId="1" xfId="0" applyNumberFormat="1" applyFont="1" applyBorder="1" applyAlignment="1">
      <alignment horizontal="left" vertical="center" wrapText="1"/>
    </xf>
    <xf numFmtId="165" fontId="14" fillId="0" borderId="16" xfId="1" applyFont="1" applyFill="1" applyBorder="1" applyAlignment="1">
      <alignment horizontal="right" vertical="center"/>
    </xf>
    <xf numFmtId="165" fontId="14" fillId="0" borderId="18" xfId="1" applyFont="1" applyFill="1" applyBorder="1" applyAlignment="1">
      <alignment horizontal="right" vertical="center"/>
    </xf>
    <xf numFmtId="165" fontId="14" fillId="0" borderId="9" xfId="1" applyFont="1" applyFill="1" applyBorder="1" applyAlignment="1">
      <alignment horizontal="right" vertical="center"/>
    </xf>
    <xf numFmtId="165" fontId="14" fillId="0" borderId="19" xfId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165" fontId="29" fillId="0" borderId="0" xfId="0" applyNumberFormat="1" applyFont="1" applyAlignment="1">
      <alignment wrapText="1"/>
    </xf>
    <xf numFmtId="0" fontId="30" fillId="0" borderId="0" xfId="3" applyFont="1"/>
    <xf numFmtId="0" fontId="31" fillId="2" borderId="0" xfId="0" applyFont="1" applyFill="1" applyAlignment="1">
      <alignment wrapText="1"/>
    </xf>
    <xf numFmtId="165" fontId="31" fillId="0" borderId="0" xfId="8" applyFont="1" applyAlignment="1"/>
    <xf numFmtId="165" fontId="30" fillId="0" borderId="0" xfId="3" applyNumberFormat="1" applyFont="1"/>
    <xf numFmtId="165" fontId="29" fillId="0" borderId="0" xfId="0" applyNumberFormat="1" applyFont="1"/>
    <xf numFmtId="165" fontId="14" fillId="0" borderId="8" xfId="1" applyFont="1" applyFill="1" applyBorder="1" applyAlignment="1">
      <alignment horizontal="right" vertical="center"/>
    </xf>
    <xf numFmtId="165" fontId="14" fillId="0" borderId="13" xfId="1" applyFont="1" applyFill="1" applyBorder="1" applyAlignment="1">
      <alignment horizontal="right" vertical="center"/>
    </xf>
    <xf numFmtId="2" fontId="17" fillId="3" borderId="1" xfId="0" applyNumberFormat="1" applyFont="1" applyFill="1" applyBorder="1" applyAlignment="1">
      <alignment horizontal="left" vertical="center"/>
    </xf>
    <xf numFmtId="2" fontId="32" fillId="3" borderId="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0" fontId="8" fillId="0" borderId="0" xfId="0" applyFont="1"/>
    <xf numFmtId="2" fontId="14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right"/>
    </xf>
    <xf numFmtId="170" fontId="14" fillId="0" borderId="0" xfId="0" applyNumberFormat="1" applyFont="1" applyAlignment="1">
      <alignment horizontal="center"/>
    </xf>
    <xf numFmtId="170" fontId="14" fillId="3" borderId="0" xfId="0" applyNumberFormat="1" applyFont="1" applyFill="1" applyAlignment="1">
      <alignment horizontal="right"/>
    </xf>
    <xf numFmtId="168" fontId="14" fillId="0" borderId="0" xfId="0" applyNumberFormat="1" applyFont="1" applyAlignment="1">
      <alignment horizontal="center"/>
    </xf>
    <xf numFmtId="0" fontId="14" fillId="0" borderId="0" xfId="0" applyFont="1"/>
    <xf numFmtId="165" fontId="14" fillId="0" borderId="0" xfId="8" applyFont="1" applyAlignment="1">
      <alignment horizontal="center"/>
    </xf>
    <xf numFmtId="10" fontId="14" fillId="0" borderId="0" xfId="8" applyNumberFormat="1" applyFont="1" applyAlignment="1"/>
    <xf numFmtId="40" fontId="14" fillId="0" borderId="0" xfId="8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171" fontId="14" fillId="0" borderId="0" xfId="9" applyNumberFormat="1" applyFont="1" applyAlignment="1">
      <alignment horizontal="right"/>
    </xf>
    <xf numFmtId="165" fontId="14" fillId="0" borderId="0" xfId="8" applyFont="1" applyAlignment="1"/>
    <xf numFmtId="168" fontId="14" fillId="6" borderId="2" xfId="0" applyNumberFormat="1" applyFont="1" applyFill="1" applyBorder="1"/>
    <xf numFmtId="0" fontId="8" fillId="7" borderId="3" xfId="0" applyFont="1" applyFill="1" applyBorder="1" applyAlignment="1">
      <alignment horizontal="left"/>
    </xf>
    <xf numFmtId="2" fontId="8" fillId="6" borderId="3" xfId="0" applyNumberFormat="1" applyFont="1" applyFill="1" applyBorder="1" applyAlignment="1">
      <alignment horizontal="center"/>
    </xf>
    <xf numFmtId="170" fontId="8" fillId="6" borderId="3" xfId="1" applyNumberFormat="1" applyFont="1" applyFill="1" applyBorder="1" applyAlignment="1">
      <alignment horizontal="right"/>
    </xf>
    <xf numFmtId="170" fontId="8" fillId="6" borderId="3" xfId="1" applyNumberFormat="1" applyFont="1" applyFill="1" applyBorder="1" applyAlignment="1">
      <alignment horizontal="center"/>
    </xf>
    <xf numFmtId="170" fontId="14" fillId="0" borderId="0" xfId="9" applyNumberFormat="1" applyFont="1" applyAlignment="1">
      <alignment horizontal="right"/>
    </xf>
    <xf numFmtId="172" fontId="14" fillId="0" borderId="0" xfId="9" applyNumberFormat="1" applyFont="1" applyAlignment="1">
      <alignment horizontal="right"/>
    </xf>
    <xf numFmtId="0" fontId="33" fillId="0" borderId="0" xfId="0" applyFont="1"/>
    <xf numFmtId="4" fontId="15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2" fontId="8" fillId="3" borderId="2" xfId="0" applyNumberFormat="1" applyFont="1" applyFill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2" fontId="8" fillId="3" borderId="8" xfId="0" applyNumberFormat="1" applyFont="1" applyFill="1" applyBorder="1" applyAlignment="1">
      <alignment vertical="center"/>
    </xf>
    <xf numFmtId="2" fontId="17" fillId="3" borderId="2" xfId="0" applyNumberFormat="1" applyFont="1" applyFill="1" applyBorder="1" applyAlignment="1">
      <alignment vertical="center"/>
    </xf>
    <xf numFmtId="2" fontId="17" fillId="3" borderId="3" xfId="0" applyNumberFormat="1" applyFont="1" applyFill="1" applyBorder="1" applyAlignment="1">
      <alignment vertical="center"/>
    </xf>
    <xf numFmtId="2" fontId="17" fillId="3" borderId="8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2" fontId="17" fillId="3" borderId="3" xfId="0" applyNumberFormat="1" applyFont="1" applyFill="1" applyBorder="1" applyAlignment="1" applyProtection="1">
      <alignment vertical="center"/>
      <protection locked="0"/>
    </xf>
    <xf numFmtId="4" fontId="14" fillId="0" borderId="13" xfId="0" applyNumberFormat="1" applyFont="1" applyBorder="1" applyAlignment="1" applyProtection="1">
      <alignment horizontal="center" vertical="center"/>
      <protection locked="0"/>
    </xf>
    <xf numFmtId="4" fontId="14" fillId="0" borderId="1" xfId="0" applyNumberFormat="1" applyFont="1" applyBorder="1" applyAlignment="1" applyProtection="1">
      <alignment horizontal="center" vertical="center"/>
      <protection locked="0"/>
    </xf>
    <xf numFmtId="40" fontId="7" fillId="4" borderId="3" xfId="1" applyNumberFormat="1" applyFont="1" applyFill="1" applyBorder="1" applyAlignment="1" applyProtection="1">
      <alignment horizontal="center" vertical="center"/>
      <protection locked="0"/>
    </xf>
    <xf numFmtId="40" fontId="7" fillId="0" borderId="0" xfId="1" applyNumberFormat="1" applyFont="1" applyFill="1" applyBorder="1" applyAlignment="1" applyProtection="1">
      <alignment horizontal="center" vertical="center"/>
      <protection locked="0"/>
    </xf>
    <xf numFmtId="2" fontId="8" fillId="3" borderId="3" xfId="0" applyNumberFormat="1" applyFont="1" applyFill="1" applyBorder="1" applyAlignment="1" applyProtection="1">
      <alignment vertical="center"/>
      <protection locked="0"/>
    </xf>
    <xf numFmtId="4" fontId="14" fillId="0" borderId="9" xfId="0" applyNumberFormat="1" applyFont="1" applyBorder="1" applyAlignment="1" applyProtection="1">
      <alignment horizontal="center" vertical="center"/>
      <protection locked="0"/>
    </xf>
    <xf numFmtId="4" fontId="14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166" fontId="8" fillId="0" borderId="0" xfId="1" applyNumberFormat="1" applyFont="1" applyFill="1" applyBorder="1" applyAlignment="1">
      <alignment horizontal="left"/>
    </xf>
    <xf numFmtId="4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left" vertical="center" wrapText="1"/>
    </xf>
  </cellXfs>
  <cellStyles count="10">
    <cellStyle name="Millares" xfId="1" builtinId="3"/>
    <cellStyle name="Millares 2" xfId="8" xr:uid="{00000000-0005-0000-0000-000001000000}"/>
    <cellStyle name="Millares 2 32" xfId="5" xr:uid="{00000000-0005-0000-0000-000002000000}"/>
    <cellStyle name="Moneda" xfId="2" builtinId="4"/>
    <cellStyle name="Moneda 3" xfId="6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  <cellStyle name="Porcentaje 2" xfId="7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3"/>
  <sheetViews>
    <sheetView tabSelected="1" view="pageBreakPreview" topLeftCell="A49" zoomScaleNormal="100" zoomScaleSheetLayoutView="100" workbookViewId="0">
      <selection activeCell="E51" sqref="E51"/>
    </sheetView>
  </sheetViews>
  <sheetFormatPr defaultColWidth="11" defaultRowHeight="14.25"/>
  <cols>
    <col min="1" max="1" width="8.42578125" style="1" customWidth="1"/>
    <col min="2" max="2" width="79.28515625" style="2" customWidth="1"/>
    <col min="3" max="3" width="9.7109375" style="6" customWidth="1"/>
    <col min="4" max="4" width="9.140625" style="6" customWidth="1"/>
    <col min="5" max="5" width="11.5703125" style="81" customWidth="1"/>
    <col min="6" max="6" width="15" style="6" customWidth="1"/>
    <col min="7" max="7" width="26.5703125" style="6" customWidth="1"/>
    <col min="8" max="8" width="15.28515625" style="6" bestFit="1" customWidth="1"/>
    <col min="9" max="9" width="14.42578125" style="6" bestFit="1" customWidth="1"/>
    <col min="10" max="11" width="9.140625" style="6"/>
    <col min="12" max="12" width="17.140625" style="6" customWidth="1"/>
    <col min="13" max="61" width="9.140625" style="6"/>
    <col min="62" max="62" width="6.140625" style="6" customWidth="1"/>
    <col min="63" max="63" width="41" style="6" customWidth="1"/>
    <col min="64" max="64" width="10.85546875" style="6" customWidth="1"/>
    <col min="65" max="65" width="8.7109375" style="6" customWidth="1"/>
    <col min="66" max="66" width="14.42578125" style="6" customWidth="1"/>
    <col min="67" max="67" width="15.7109375" style="6" bestFit="1" customWidth="1"/>
    <col min="68" max="68" width="15.7109375" style="6" customWidth="1"/>
    <col min="69" max="69" width="14.42578125" style="6" bestFit="1" customWidth="1"/>
    <col min="70" max="70" width="12.7109375" style="6" bestFit="1" customWidth="1"/>
    <col min="71" max="317" width="9.140625" style="6"/>
    <col min="318" max="318" width="6.140625" style="6" customWidth="1"/>
    <col min="319" max="319" width="41" style="6" customWidth="1"/>
    <col min="320" max="320" width="10.85546875" style="6" customWidth="1"/>
    <col min="321" max="321" width="8.7109375" style="6" customWidth="1"/>
    <col min="322" max="322" width="14.42578125" style="6" customWidth="1"/>
    <col min="323" max="323" width="15.7109375" style="6" bestFit="1" customWidth="1"/>
    <col min="324" max="324" width="15.7109375" style="6" customWidth="1"/>
    <col min="325" max="325" width="14.42578125" style="6" bestFit="1" customWidth="1"/>
    <col min="326" max="326" width="12.7109375" style="6" bestFit="1" customWidth="1"/>
    <col min="327" max="573" width="9.140625" style="6"/>
    <col min="574" max="574" width="6.140625" style="6" customWidth="1"/>
    <col min="575" max="575" width="41" style="6" customWidth="1"/>
    <col min="576" max="576" width="10.85546875" style="6" customWidth="1"/>
    <col min="577" max="577" width="8.7109375" style="6" customWidth="1"/>
    <col min="578" max="578" width="14.42578125" style="6" customWidth="1"/>
    <col min="579" max="579" width="15.7109375" style="6" bestFit="1" customWidth="1"/>
    <col min="580" max="580" width="15.7109375" style="6" customWidth="1"/>
    <col min="581" max="581" width="14.42578125" style="6" bestFit="1" customWidth="1"/>
    <col min="582" max="582" width="12.7109375" style="6" bestFit="1" customWidth="1"/>
    <col min="583" max="829" width="9.140625" style="6"/>
    <col min="830" max="830" width="6.140625" style="6" customWidth="1"/>
    <col min="831" max="831" width="41" style="6" customWidth="1"/>
    <col min="832" max="832" width="10.85546875" style="6" customWidth="1"/>
    <col min="833" max="833" width="8.7109375" style="6" customWidth="1"/>
    <col min="834" max="834" width="14.42578125" style="6" customWidth="1"/>
    <col min="835" max="835" width="15.7109375" style="6" bestFit="1" customWidth="1"/>
    <col min="836" max="836" width="15.7109375" style="6" customWidth="1"/>
    <col min="837" max="837" width="14.42578125" style="6" bestFit="1" customWidth="1"/>
    <col min="838" max="838" width="12.7109375" style="6" bestFit="1" customWidth="1"/>
    <col min="839" max="1085" width="9.140625" style="6"/>
    <col min="1086" max="1086" width="6.140625" style="6" customWidth="1"/>
    <col min="1087" max="1087" width="41" style="6" customWidth="1"/>
    <col min="1088" max="1088" width="10.85546875" style="6" customWidth="1"/>
    <col min="1089" max="1089" width="8.7109375" style="6" customWidth="1"/>
    <col min="1090" max="1090" width="14.42578125" style="6" customWidth="1"/>
    <col min="1091" max="1091" width="15.7109375" style="6" bestFit="1" customWidth="1"/>
    <col min="1092" max="1092" width="15.7109375" style="6" customWidth="1"/>
    <col min="1093" max="1093" width="14.42578125" style="6" bestFit="1" customWidth="1"/>
    <col min="1094" max="1094" width="12.7109375" style="6" bestFit="1" customWidth="1"/>
    <col min="1095" max="1341" width="9.140625" style="6"/>
    <col min="1342" max="1342" width="6.140625" style="6" customWidth="1"/>
    <col min="1343" max="1343" width="41" style="6" customWidth="1"/>
    <col min="1344" max="1344" width="10.85546875" style="6" customWidth="1"/>
    <col min="1345" max="1345" width="8.7109375" style="6" customWidth="1"/>
    <col min="1346" max="1346" width="14.42578125" style="6" customWidth="1"/>
    <col min="1347" max="1347" width="15.7109375" style="6" bestFit="1" customWidth="1"/>
    <col min="1348" max="1348" width="15.7109375" style="6" customWidth="1"/>
    <col min="1349" max="1349" width="14.42578125" style="6" bestFit="1" customWidth="1"/>
    <col min="1350" max="1350" width="12.7109375" style="6" bestFit="1" customWidth="1"/>
    <col min="1351" max="1597" width="9.140625" style="6"/>
    <col min="1598" max="1598" width="6.140625" style="6" customWidth="1"/>
    <col min="1599" max="1599" width="41" style="6" customWidth="1"/>
    <col min="1600" max="1600" width="10.85546875" style="6" customWidth="1"/>
    <col min="1601" max="1601" width="8.7109375" style="6" customWidth="1"/>
    <col min="1602" max="1602" width="14.42578125" style="6" customWidth="1"/>
    <col min="1603" max="1603" width="15.7109375" style="6" bestFit="1" customWidth="1"/>
    <col min="1604" max="1604" width="15.7109375" style="6" customWidth="1"/>
    <col min="1605" max="1605" width="14.42578125" style="6" bestFit="1" customWidth="1"/>
    <col min="1606" max="1606" width="12.7109375" style="6" bestFit="1" customWidth="1"/>
    <col min="1607" max="1853" width="9.140625" style="6"/>
    <col min="1854" max="1854" width="6.140625" style="6" customWidth="1"/>
    <col min="1855" max="1855" width="41" style="6" customWidth="1"/>
    <col min="1856" max="1856" width="10.85546875" style="6" customWidth="1"/>
    <col min="1857" max="1857" width="8.7109375" style="6" customWidth="1"/>
    <col min="1858" max="1858" width="14.42578125" style="6" customWidth="1"/>
    <col min="1859" max="1859" width="15.7109375" style="6" bestFit="1" customWidth="1"/>
    <col min="1860" max="1860" width="15.7109375" style="6" customWidth="1"/>
    <col min="1861" max="1861" width="14.42578125" style="6" bestFit="1" customWidth="1"/>
    <col min="1862" max="1862" width="12.7109375" style="6" bestFit="1" customWidth="1"/>
    <col min="1863" max="2109" width="9.140625" style="6"/>
    <col min="2110" max="2110" width="6.140625" style="6" customWidth="1"/>
    <col min="2111" max="2111" width="41" style="6" customWidth="1"/>
    <col min="2112" max="2112" width="10.85546875" style="6" customWidth="1"/>
    <col min="2113" max="2113" width="8.7109375" style="6" customWidth="1"/>
    <col min="2114" max="2114" width="14.42578125" style="6" customWidth="1"/>
    <col min="2115" max="2115" width="15.7109375" style="6" bestFit="1" customWidth="1"/>
    <col min="2116" max="2116" width="15.7109375" style="6" customWidth="1"/>
    <col min="2117" max="2117" width="14.42578125" style="6" bestFit="1" customWidth="1"/>
    <col min="2118" max="2118" width="12.7109375" style="6" bestFit="1" customWidth="1"/>
    <col min="2119" max="2365" width="9.140625" style="6"/>
    <col min="2366" max="2366" width="6.140625" style="6" customWidth="1"/>
    <col min="2367" max="2367" width="41" style="6" customWidth="1"/>
    <col min="2368" max="2368" width="10.85546875" style="6" customWidth="1"/>
    <col min="2369" max="2369" width="8.7109375" style="6" customWidth="1"/>
    <col min="2370" max="2370" width="14.42578125" style="6" customWidth="1"/>
    <col min="2371" max="2371" width="15.7109375" style="6" bestFit="1" customWidth="1"/>
    <col min="2372" max="2372" width="15.7109375" style="6" customWidth="1"/>
    <col min="2373" max="2373" width="14.42578125" style="6" bestFit="1" customWidth="1"/>
    <col min="2374" max="2374" width="12.7109375" style="6" bestFit="1" customWidth="1"/>
    <col min="2375" max="2621" width="9.140625" style="6"/>
    <col min="2622" max="2622" width="6.140625" style="6" customWidth="1"/>
    <col min="2623" max="2623" width="41" style="6" customWidth="1"/>
    <col min="2624" max="2624" width="10.85546875" style="6" customWidth="1"/>
    <col min="2625" max="2625" width="8.7109375" style="6" customWidth="1"/>
    <col min="2626" max="2626" width="14.42578125" style="6" customWidth="1"/>
    <col min="2627" max="2627" width="15.7109375" style="6" bestFit="1" customWidth="1"/>
    <col min="2628" max="2628" width="15.7109375" style="6" customWidth="1"/>
    <col min="2629" max="2629" width="14.42578125" style="6" bestFit="1" customWidth="1"/>
    <col min="2630" max="2630" width="12.7109375" style="6" bestFit="1" customWidth="1"/>
    <col min="2631" max="2877" width="9.140625" style="6"/>
    <col min="2878" max="2878" width="6.140625" style="6" customWidth="1"/>
    <col min="2879" max="2879" width="41" style="6" customWidth="1"/>
    <col min="2880" max="2880" width="10.85546875" style="6" customWidth="1"/>
    <col min="2881" max="2881" width="8.7109375" style="6" customWidth="1"/>
    <col min="2882" max="2882" width="14.42578125" style="6" customWidth="1"/>
    <col min="2883" max="2883" width="15.7109375" style="6" bestFit="1" customWidth="1"/>
    <col min="2884" max="2884" width="15.7109375" style="6" customWidth="1"/>
    <col min="2885" max="2885" width="14.42578125" style="6" bestFit="1" customWidth="1"/>
    <col min="2886" max="2886" width="12.7109375" style="6" bestFit="1" customWidth="1"/>
    <col min="2887" max="3133" width="9.140625" style="6"/>
    <col min="3134" max="3134" width="6.140625" style="6" customWidth="1"/>
    <col min="3135" max="3135" width="41" style="6" customWidth="1"/>
    <col min="3136" max="3136" width="10.85546875" style="6" customWidth="1"/>
    <col min="3137" max="3137" width="8.7109375" style="6" customWidth="1"/>
    <col min="3138" max="3138" width="14.42578125" style="6" customWidth="1"/>
    <col min="3139" max="3139" width="15.7109375" style="6" bestFit="1" customWidth="1"/>
    <col min="3140" max="3140" width="15.7109375" style="6" customWidth="1"/>
    <col min="3141" max="3141" width="14.42578125" style="6" bestFit="1" customWidth="1"/>
    <col min="3142" max="3142" width="12.7109375" style="6" bestFit="1" customWidth="1"/>
    <col min="3143" max="3389" width="9.140625" style="6"/>
    <col min="3390" max="3390" width="6.140625" style="6" customWidth="1"/>
    <col min="3391" max="3391" width="41" style="6" customWidth="1"/>
    <col min="3392" max="3392" width="10.85546875" style="6" customWidth="1"/>
    <col min="3393" max="3393" width="8.7109375" style="6" customWidth="1"/>
    <col min="3394" max="3394" width="14.42578125" style="6" customWidth="1"/>
    <col min="3395" max="3395" width="15.7109375" style="6" bestFit="1" customWidth="1"/>
    <col min="3396" max="3396" width="15.7109375" style="6" customWidth="1"/>
    <col min="3397" max="3397" width="14.42578125" style="6" bestFit="1" customWidth="1"/>
    <col min="3398" max="3398" width="12.7109375" style="6" bestFit="1" customWidth="1"/>
    <col min="3399" max="3645" width="9.140625" style="6"/>
    <col min="3646" max="3646" width="6.140625" style="6" customWidth="1"/>
    <col min="3647" max="3647" width="41" style="6" customWidth="1"/>
    <col min="3648" max="3648" width="10.85546875" style="6" customWidth="1"/>
    <col min="3649" max="3649" width="8.7109375" style="6" customWidth="1"/>
    <col min="3650" max="3650" width="14.42578125" style="6" customWidth="1"/>
    <col min="3651" max="3651" width="15.7109375" style="6" bestFit="1" customWidth="1"/>
    <col min="3652" max="3652" width="15.7109375" style="6" customWidth="1"/>
    <col min="3653" max="3653" width="14.42578125" style="6" bestFit="1" customWidth="1"/>
    <col min="3654" max="3654" width="12.7109375" style="6" bestFit="1" customWidth="1"/>
    <col min="3655" max="3901" width="9.140625" style="6"/>
    <col min="3902" max="3902" width="6.140625" style="6" customWidth="1"/>
    <col min="3903" max="3903" width="41" style="6" customWidth="1"/>
    <col min="3904" max="3904" width="10.85546875" style="6" customWidth="1"/>
    <col min="3905" max="3905" width="8.7109375" style="6" customWidth="1"/>
    <col min="3906" max="3906" width="14.42578125" style="6" customWidth="1"/>
    <col min="3907" max="3907" width="15.7109375" style="6" bestFit="1" customWidth="1"/>
    <col min="3908" max="3908" width="15.7109375" style="6" customWidth="1"/>
    <col min="3909" max="3909" width="14.42578125" style="6" bestFit="1" customWidth="1"/>
    <col min="3910" max="3910" width="12.7109375" style="6" bestFit="1" customWidth="1"/>
    <col min="3911" max="4157" width="9.140625" style="6"/>
    <col min="4158" max="4158" width="6.140625" style="6" customWidth="1"/>
    <col min="4159" max="4159" width="41" style="6" customWidth="1"/>
    <col min="4160" max="4160" width="10.85546875" style="6" customWidth="1"/>
    <col min="4161" max="4161" width="8.7109375" style="6" customWidth="1"/>
    <col min="4162" max="4162" width="14.42578125" style="6" customWidth="1"/>
    <col min="4163" max="4163" width="15.7109375" style="6" bestFit="1" customWidth="1"/>
    <col min="4164" max="4164" width="15.7109375" style="6" customWidth="1"/>
    <col min="4165" max="4165" width="14.42578125" style="6" bestFit="1" customWidth="1"/>
    <col min="4166" max="4166" width="12.7109375" style="6" bestFit="1" customWidth="1"/>
    <col min="4167" max="4413" width="9.140625" style="6"/>
    <col min="4414" max="4414" width="6.140625" style="6" customWidth="1"/>
    <col min="4415" max="4415" width="41" style="6" customWidth="1"/>
    <col min="4416" max="4416" width="10.85546875" style="6" customWidth="1"/>
    <col min="4417" max="4417" width="8.7109375" style="6" customWidth="1"/>
    <col min="4418" max="4418" width="14.42578125" style="6" customWidth="1"/>
    <col min="4419" max="4419" width="15.7109375" style="6" bestFit="1" customWidth="1"/>
    <col min="4420" max="4420" width="15.7109375" style="6" customWidth="1"/>
    <col min="4421" max="4421" width="14.42578125" style="6" bestFit="1" customWidth="1"/>
    <col min="4422" max="4422" width="12.7109375" style="6" bestFit="1" customWidth="1"/>
    <col min="4423" max="4669" width="9.140625" style="6"/>
    <col min="4670" max="4670" width="6.140625" style="6" customWidth="1"/>
    <col min="4671" max="4671" width="41" style="6" customWidth="1"/>
    <col min="4672" max="4672" width="10.85546875" style="6" customWidth="1"/>
    <col min="4673" max="4673" width="8.7109375" style="6" customWidth="1"/>
    <col min="4674" max="4674" width="14.42578125" style="6" customWidth="1"/>
    <col min="4675" max="4675" width="15.7109375" style="6" bestFit="1" customWidth="1"/>
    <col min="4676" max="4676" width="15.7109375" style="6" customWidth="1"/>
    <col min="4677" max="4677" width="14.42578125" style="6" bestFit="1" customWidth="1"/>
    <col min="4678" max="4678" width="12.7109375" style="6" bestFit="1" customWidth="1"/>
    <col min="4679" max="4925" width="9.140625" style="6"/>
    <col min="4926" max="4926" width="6.140625" style="6" customWidth="1"/>
    <col min="4927" max="4927" width="41" style="6" customWidth="1"/>
    <col min="4928" max="4928" width="10.85546875" style="6" customWidth="1"/>
    <col min="4929" max="4929" width="8.7109375" style="6" customWidth="1"/>
    <col min="4930" max="4930" width="14.42578125" style="6" customWidth="1"/>
    <col min="4931" max="4931" width="15.7109375" style="6" bestFit="1" customWidth="1"/>
    <col min="4932" max="4932" width="15.7109375" style="6" customWidth="1"/>
    <col min="4933" max="4933" width="14.42578125" style="6" bestFit="1" customWidth="1"/>
    <col min="4934" max="4934" width="12.7109375" style="6" bestFit="1" customWidth="1"/>
    <col min="4935" max="5181" width="9.140625" style="6"/>
    <col min="5182" max="5182" width="6.140625" style="6" customWidth="1"/>
    <col min="5183" max="5183" width="41" style="6" customWidth="1"/>
    <col min="5184" max="5184" width="10.85546875" style="6" customWidth="1"/>
    <col min="5185" max="5185" width="8.7109375" style="6" customWidth="1"/>
    <col min="5186" max="5186" width="14.42578125" style="6" customWidth="1"/>
    <col min="5187" max="5187" width="15.7109375" style="6" bestFit="1" customWidth="1"/>
    <col min="5188" max="5188" width="15.7109375" style="6" customWidth="1"/>
    <col min="5189" max="5189" width="14.42578125" style="6" bestFit="1" customWidth="1"/>
    <col min="5190" max="5190" width="12.7109375" style="6" bestFit="1" customWidth="1"/>
    <col min="5191" max="5437" width="9.140625" style="6"/>
    <col min="5438" max="5438" width="6.140625" style="6" customWidth="1"/>
    <col min="5439" max="5439" width="41" style="6" customWidth="1"/>
    <col min="5440" max="5440" width="10.85546875" style="6" customWidth="1"/>
    <col min="5441" max="5441" width="8.7109375" style="6" customWidth="1"/>
    <col min="5442" max="5442" width="14.42578125" style="6" customWidth="1"/>
    <col min="5443" max="5443" width="15.7109375" style="6" bestFit="1" customWidth="1"/>
    <col min="5444" max="5444" width="15.7109375" style="6" customWidth="1"/>
    <col min="5445" max="5445" width="14.42578125" style="6" bestFit="1" customWidth="1"/>
    <col min="5446" max="5446" width="12.7109375" style="6" bestFit="1" customWidth="1"/>
    <col min="5447" max="5693" width="9.140625" style="6"/>
    <col min="5694" max="5694" width="6.140625" style="6" customWidth="1"/>
    <col min="5695" max="5695" width="41" style="6" customWidth="1"/>
    <col min="5696" max="5696" width="10.85546875" style="6" customWidth="1"/>
    <col min="5697" max="5697" width="8.7109375" style="6" customWidth="1"/>
    <col min="5698" max="5698" width="14.42578125" style="6" customWidth="1"/>
    <col min="5699" max="5699" width="15.7109375" style="6" bestFit="1" customWidth="1"/>
    <col min="5700" max="5700" width="15.7109375" style="6" customWidth="1"/>
    <col min="5701" max="5701" width="14.42578125" style="6" bestFit="1" customWidth="1"/>
    <col min="5702" max="5702" width="12.7109375" style="6" bestFit="1" customWidth="1"/>
    <col min="5703" max="5949" width="9.140625" style="6"/>
    <col min="5950" max="5950" width="6.140625" style="6" customWidth="1"/>
    <col min="5951" max="5951" width="41" style="6" customWidth="1"/>
    <col min="5952" max="5952" width="10.85546875" style="6" customWidth="1"/>
    <col min="5953" max="5953" width="8.7109375" style="6" customWidth="1"/>
    <col min="5954" max="5954" width="14.42578125" style="6" customWidth="1"/>
    <col min="5955" max="5955" width="15.7109375" style="6" bestFit="1" customWidth="1"/>
    <col min="5956" max="5956" width="15.7109375" style="6" customWidth="1"/>
    <col min="5957" max="5957" width="14.42578125" style="6" bestFit="1" customWidth="1"/>
    <col min="5958" max="5958" width="12.7109375" style="6" bestFit="1" customWidth="1"/>
    <col min="5959" max="6205" width="9.140625" style="6"/>
    <col min="6206" max="6206" width="6.140625" style="6" customWidth="1"/>
    <col min="6207" max="6207" width="41" style="6" customWidth="1"/>
    <col min="6208" max="6208" width="10.85546875" style="6" customWidth="1"/>
    <col min="6209" max="6209" width="8.7109375" style="6" customWidth="1"/>
    <col min="6210" max="6210" width="14.42578125" style="6" customWidth="1"/>
    <col min="6211" max="6211" width="15.7109375" style="6" bestFit="1" customWidth="1"/>
    <col min="6212" max="6212" width="15.7109375" style="6" customWidth="1"/>
    <col min="6213" max="6213" width="14.42578125" style="6" bestFit="1" customWidth="1"/>
    <col min="6214" max="6214" width="12.7109375" style="6" bestFit="1" customWidth="1"/>
    <col min="6215" max="6461" width="9.140625" style="6"/>
    <col min="6462" max="6462" width="6.140625" style="6" customWidth="1"/>
    <col min="6463" max="6463" width="41" style="6" customWidth="1"/>
    <col min="6464" max="6464" width="10.85546875" style="6" customWidth="1"/>
    <col min="6465" max="6465" width="8.7109375" style="6" customWidth="1"/>
    <col min="6466" max="6466" width="14.42578125" style="6" customWidth="1"/>
    <col min="6467" max="6467" width="15.7109375" style="6" bestFit="1" customWidth="1"/>
    <col min="6468" max="6468" width="15.7109375" style="6" customWidth="1"/>
    <col min="6469" max="6469" width="14.42578125" style="6" bestFit="1" customWidth="1"/>
    <col min="6470" max="6470" width="12.7109375" style="6" bestFit="1" customWidth="1"/>
    <col min="6471" max="6717" width="9.140625" style="6"/>
    <col min="6718" max="6718" width="6.140625" style="6" customWidth="1"/>
    <col min="6719" max="6719" width="41" style="6" customWidth="1"/>
    <col min="6720" max="6720" width="10.85546875" style="6" customWidth="1"/>
    <col min="6721" max="6721" width="8.7109375" style="6" customWidth="1"/>
    <col min="6722" max="6722" width="14.42578125" style="6" customWidth="1"/>
    <col min="6723" max="6723" width="15.7109375" style="6" bestFit="1" customWidth="1"/>
    <col min="6724" max="6724" width="15.7109375" style="6" customWidth="1"/>
    <col min="6725" max="6725" width="14.42578125" style="6" bestFit="1" customWidth="1"/>
    <col min="6726" max="6726" width="12.7109375" style="6" bestFit="1" customWidth="1"/>
    <col min="6727" max="6973" width="9.140625" style="6"/>
    <col min="6974" max="6974" width="6.140625" style="6" customWidth="1"/>
    <col min="6975" max="6975" width="41" style="6" customWidth="1"/>
    <col min="6976" max="6976" width="10.85546875" style="6" customWidth="1"/>
    <col min="6977" max="6977" width="8.7109375" style="6" customWidth="1"/>
    <col min="6978" max="6978" width="14.42578125" style="6" customWidth="1"/>
    <col min="6979" max="6979" width="15.7109375" style="6" bestFit="1" customWidth="1"/>
    <col min="6980" max="6980" width="15.7109375" style="6" customWidth="1"/>
    <col min="6981" max="6981" width="14.42578125" style="6" bestFit="1" customWidth="1"/>
    <col min="6982" max="6982" width="12.7109375" style="6" bestFit="1" customWidth="1"/>
    <col min="6983" max="7229" width="9.140625" style="6"/>
    <col min="7230" max="7230" width="6.140625" style="6" customWidth="1"/>
    <col min="7231" max="7231" width="41" style="6" customWidth="1"/>
    <col min="7232" max="7232" width="10.85546875" style="6" customWidth="1"/>
    <col min="7233" max="7233" width="8.7109375" style="6" customWidth="1"/>
    <col min="7234" max="7234" width="14.42578125" style="6" customWidth="1"/>
    <col min="7235" max="7235" width="15.7109375" style="6" bestFit="1" customWidth="1"/>
    <col min="7236" max="7236" width="15.7109375" style="6" customWidth="1"/>
    <col min="7237" max="7237" width="14.42578125" style="6" bestFit="1" customWidth="1"/>
    <col min="7238" max="7238" width="12.7109375" style="6" bestFit="1" customWidth="1"/>
    <col min="7239" max="7485" width="9.140625" style="6"/>
    <col min="7486" max="7486" width="6.140625" style="6" customWidth="1"/>
    <col min="7487" max="7487" width="41" style="6" customWidth="1"/>
    <col min="7488" max="7488" width="10.85546875" style="6" customWidth="1"/>
    <col min="7489" max="7489" width="8.7109375" style="6" customWidth="1"/>
    <col min="7490" max="7490" width="14.42578125" style="6" customWidth="1"/>
    <col min="7491" max="7491" width="15.7109375" style="6" bestFit="1" customWidth="1"/>
    <col min="7492" max="7492" width="15.7109375" style="6" customWidth="1"/>
    <col min="7493" max="7493" width="14.42578125" style="6" bestFit="1" customWidth="1"/>
    <col min="7494" max="7494" width="12.7109375" style="6" bestFit="1" customWidth="1"/>
    <col min="7495" max="7741" width="9.140625" style="6"/>
    <col min="7742" max="7742" width="6.140625" style="6" customWidth="1"/>
    <col min="7743" max="7743" width="41" style="6" customWidth="1"/>
    <col min="7744" max="7744" width="10.85546875" style="6" customWidth="1"/>
    <col min="7745" max="7745" width="8.7109375" style="6" customWidth="1"/>
    <col min="7746" max="7746" width="14.42578125" style="6" customWidth="1"/>
    <col min="7747" max="7747" width="15.7109375" style="6" bestFit="1" customWidth="1"/>
    <col min="7748" max="7748" width="15.7109375" style="6" customWidth="1"/>
    <col min="7749" max="7749" width="14.42578125" style="6" bestFit="1" customWidth="1"/>
    <col min="7750" max="7750" width="12.7109375" style="6" bestFit="1" customWidth="1"/>
    <col min="7751" max="7997" width="9.140625" style="6"/>
    <col min="7998" max="7998" width="6.140625" style="6" customWidth="1"/>
    <col min="7999" max="7999" width="41" style="6" customWidth="1"/>
    <col min="8000" max="8000" width="10.85546875" style="6" customWidth="1"/>
    <col min="8001" max="8001" width="8.7109375" style="6" customWidth="1"/>
    <col min="8002" max="8002" width="14.42578125" style="6" customWidth="1"/>
    <col min="8003" max="8003" width="15.7109375" style="6" bestFit="1" customWidth="1"/>
    <col min="8004" max="8004" width="15.7109375" style="6" customWidth="1"/>
    <col min="8005" max="8005" width="14.42578125" style="6" bestFit="1" customWidth="1"/>
    <col min="8006" max="8006" width="12.7109375" style="6" bestFit="1" customWidth="1"/>
    <col min="8007" max="8253" width="9.140625" style="6"/>
    <col min="8254" max="8254" width="6.140625" style="6" customWidth="1"/>
    <col min="8255" max="8255" width="41" style="6" customWidth="1"/>
    <col min="8256" max="8256" width="10.85546875" style="6" customWidth="1"/>
    <col min="8257" max="8257" width="8.7109375" style="6" customWidth="1"/>
    <col min="8258" max="8258" width="14.42578125" style="6" customWidth="1"/>
    <col min="8259" max="8259" width="15.7109375" style="6" bestFit="1" customWidth="1"/>
    <col min="8260" max="8260" width="15.7109375" style="6" customWidth="1"/>
    <col min="8261" max="8261" width="14.42578125" style="6" bestFit="1" customWidth="1"/>
    <col min="8262" max="8262" width="12.7109375" style="6" bestFit="1" customWidth="1"/>
    <col min="8263" max="8509" width="9.140625" style="6"/>
    <col min="8510" max="8510" width="6.140625" style="6" customWidth="1"/>
    <col min="8511" max="8511" width="41" style="6" customWidth="1"/>
    <col min="8512" max="8512" width="10.85546875" style="6" customWidth="1"/>
    <col min="8513" max="8513" width="8.7109375" style="6" customWidth="1"/>
    <col min="8514" max="8514" width="14.42578125" style="6" customWidth="1"/>
    <col min="8515" max="8515" width="15.7109375" style="6" bestFit="1" customWidth="1"/>
    <col min="8516" max="8516" width="15.7109375" style="6" customWidth="1"/>
    <col min="8517" max="8517" width="14.42578125" style="6" bestFit="1" customWidth="1"/>
    <col min="8518" max="8518" width="12.7109375" style="6" bestFit="1" customWidth="1"/>
    <col min="8519" max="8765" width="9.140625" style="6"/>
    <col min="8766" max="8766" width="6.140625" style="6" customWidth="1"/>
    <col min="8767" max="8767" width="41" style="6" customWidth="1"/>
    <col min="8768" max="8768" width="10.85546875" style="6" customWidth="1"/>
    <col min="8769" max="8769" width="8.7109375" style="6" customWidth="1"/>
    <col min="8770" max="8770" width="14.42578125" style="6" customWidth="1"/>
    <col min="8771" max="8771" width="15.7109375" style="6" bestFit="1" customWidth="1"/>
    <col min="8772" max="8772" width="15.7109375" style="6" customWidth="1"/>
    <col min="8773" max="8773" width="14.42578125" style="6" bestFit="1" customWidth="1"/>
    <col min="8774" max="8774" width="12.7109375" style="6" bestFit="1" customWidth="1"/>
    <col min="8775" max="9021" width="9.140625" style="6"/>
    <col min="9022" max="9022" width="6.140625" style="6" customWidth="1"/>
    <col min="9023" max="9023" width="41" style="6" customWidth="1"/>
    <col min="9024" max="9024" width="10.85546875" style="6" customWidth="1"/>
    <col min="9025" max="9025" width="8.7109375" style="6" customWidth="1"/>
    <col min="9026" max="9026" width="14.42578125" style="6" customWidth="1"/>
    <col min="9027" max="9027" width="15.7109375" style="6" bestFit="1" customWidth="1"/>
    <col min="9028" max="9028" width="15.7109375" style="6" customWidth="1"/>
    <col min="9029" max="9029" width="14.42578125" style="6" bestFit="1" customWidth="1"/>
    <col min="9030" max="9030" width="12.7109375" style="6" bestFit="1" customWidth="1"/>
    <col min="9031" max="9277" width="9.140625" style="6"/>
    <col min="9278" max="9278" width="6.140625" style="6" customWidth="1"/>
    <col min="9279" max="9279" width="41" style="6" customWidth="1"/>
    <col min="9280" max="9280" width="10.85546875" style="6" customWidth="1"/>
    <col min="9281" max="9281" width="8.7109375" style="6" customWidth="1"/>
    <col min="9282" max="9282" width="14.42578125" style="6" customWidth="1"/>
    <col min="9283" max="9283" width="15.7109375" style="6" bestFit="1" customWidth="1"/>
    <col min="9284" max="9284" width="15.7109375" style="6" customWidth="1"/>
    <col min="9285" max="9285" width="14.42578125" style="6" bestFit="1" customWidth="1"/>
    <col min="9286" max="9286" width="12.7109375" style="6" bestFit="1" customWidth="1"/>
    <col min="9287" max="9533" width="9.140625" style="6"/>
    <col min="9534" max="9534" width="6.140625" style="6" customWidth="1"/>
    <col min="9535" max="9535" width="41" style="6" customWidth="1"/>
    <col min="9536" max="9536" width="10.85546875" style="6" customWidth="1"/>
    <col min="9537" max="9537" width="8.7109375" style="6" customWidth="1"/>
    <col min="9538" max="9538" width="14.42578125" style="6" customWidth="1"/>
    <col min="9539" max="9539" width="15.7109375" style="6" bestFit="1" customWidth="1"/>
    <col min="9540" max="9540" width="15.7109375" style="6" customWidth="1"/>
    <col min="9541" max="9541" width="14.42578125" style="6" bestFit="1" customWidth="1"/>
    <col min="9542" max="9542" width="12.7109375" style="6" bestFit="1" customWidth="1"/>
    <col min="9543" max="9789" width="9.140625" style="6"/>
    <col min="9790" max="9790" width="6.140625" style="6" customWidth="1"/>
    <col min="9791" max="9791" width="41" style="6" customWidth="1"/>
    <col min="9792" max="9792" width="10.85546875" style="6" customWidth="1"/>
    <col min="9793" max="9793" width="8.7109375" style="6" customWidth="1"/>
    <col min="9794" max="9794" width="14.42578125" style="6" customWidth="1"/>
    <col min="9795" max="9795" width="15.7109375" style="6" bestFit="1" customWidth="1"/>
    <col min="9796" max="9796" width="15.7109375" style="6" customWidth="1"/>
    <col min="9797" max="9797" width="14.42578125" style="6" bestFit="1" customWidth="1"/>
    <col min="9798" max="9798" width="12.7109375" style="6" bestFit="1" customWidth="1"/>
    <col min="9799" max="10045" width="9.140625" style="6"/>
    <col min="10046" max="10046" width="6.140625" style="6" customWidth="1"/>
    <col min="10047" max="10047" width="41" style="6" customWidth="1"/>
    <col min="10048" max="10048" width="10.85546875" style="6" customWidth="1"/>
    <col min="10049" max="10049" width="8.7109375" style="6" customWidth="1"/>
    <col min="10050" max="10050" width="14.42578125" style="6" customWidth="1"/>
    <col min="10051" max="10051" width="15.7109375" style="6" bestFit="1" customWidth="1"/>
    <col min="10052" max="10052" width="15.7109375" style="6" customWidth="1"/>
    <col min="10053" max="10053" width="14.42578125" style="6" bestFit="1" customWidth="1"/>
    <col min="10054" max="10054" width="12.7109375" style="6" bestFit="1" customWidth="1"/>
    <col min="10055" max="10301" width="9.140625" style="6"/>
    <col min="10302" max="10302" width="6.140625" style="6" customWidth="1"/>
    <col min="10303" max="10303" width="41" style="6" customWidth="1"/>
    <col min="10304" max="10304" width="10.85546875" style="6" customWidth="1"/>
    <col min="10305" max="10305" width="8.7109375" style="6" customWidth="1"/>
    <col min="10306" max="10306" width="14.42578125" style="6" customWidth="1"/>
    <col min="10307" max="10307" width="15.7109375" style="6" bestFit="1" customWidth="1"/>
    <col min="10308" max="10308" width="15.7109375" style="6" customWidth="1"/>
    <col min="10309" max="10309" width="14.42578125" style="6" bestFit="1" customWidth="1"/>
    <col min="10310" max="10310" width="12.7109375" style="6" bestFit="1" customWidth="1"/>
    <col min="10311" max="10557" width="9.140625" style="6"/>
    <col min="10558" max="10558" width="6.140625" style="6" customWidth="1"/>
    <col min="10559" max="10559" width="41" style="6" customWidth="1"/>
    <col min="10560" max="10560" width="10.85546875" style="6" customWidth="1"/>
    <col min="10561" max="10561" width="8.7109375" style="6" customWidth="1"/>
    <col min="10562" max="10562" width="14.42578125" style="6" customWidth="1"/>
    <col min="10563" max="10563" width="15.7109375" style="6" bestFit="1" customWidth="1"/>
    <col min="10564" max="10564" width="15.7109375" style="6" customWidth="1"/>
    <col min="10565" max="10565" width="14.42578125" style="6" bestFit="1" customWidth="1"/>
    <col min="10566" max="10566" width="12.7109375" style="6" bestFit="1" customWidth="1"/>
    <col min="10567" max="10813" width="9.140625" style="6"/>
    <col min="10814" max="10814" width="6.140625" style="6" customWidth="1"/>
    <col min="10815" max="10815" width="41" style="6" customWidth="1"/>
    <col min="10816" max="10816" width="10.85546875" style="6" customWidth="1"/>
    <col min="10817" max="10817" width="8.7109375" style="6" customWidth="1"/>
    <col min="10818" max="10818" width="14.42578125" style="6" customWidth="1"/>
    <col min="10819" max="10819" width="15.7109375" style="6" bestFit="1" customWidth="1"/>
    <col min="10820" max="10820" width="15.7109375" style="6" customWidth="1"/>
    <col min="10821" max="10821" width="14.42578125" style="6" bestFit="1" customWidth="1"/>
    <col min="10822" max="10822" width="12.7109375" style="6" bestFit="1" customWidth="1"/>
    <col min="10823" max="11069" width="9.140625" style="6"/>
    <col min="11070" max="11070" width="6.140625" style="6" customWidth="1"/>
    <col min="11071" max="11071" width="41" style="6" customWidth="1"/>
    <col min="11072" max="11072" width="10.85546875" style="6" customWidth="1"/>
    <col min="11073" max="11073" width="8.7109375" style="6" customWidth="1"/>
    <col min="11074" max="11074" width="14.42578125" style="6" customWidth="1"/>
    <col min="11075" max="11075" width="15.7109375" style="6" bestFit="1" customWidth="1"/>
    <col min="11076" max="11076" width="15.7109375" style="6" customWidth="1"/>
    <col min="11077" max="11077" width="14.42578125" style="6" bestFit="1" customWidth="1"/>
    <col min="11078" max="11078" width="12.7109375" style="6" bestFit="1" customWidth="1"/>
    <col min="11079" max="11325" width="9.140625" style="6"/>
    <col min="11326" max="11326" width="6.140625" style="6" customWidth="1"/>
    <col min="11327" max="11327" width="41" style="6" customWidth="1"/>
    <col min="11328" max="11328" width="10.85546875" style="6" customWidth="1"/>
    <col min="11329" max="11329" width="8.7109375" style="6" customWidth="1"/>
    <col min="11330" max="11330" width="14.42578125" style="6" customWidth="1"/>
    <col min="11331" max="11331" width="15.7109375" style="6" bestFit="1" customWidth="1"/>
    <col min="11332" max="11332" width="15.7109375" style="6" customWidth="1"/>
    <col min="11333" max="11333" width="14.42578125" style="6" bestFit="1" customWidth="1"/>
    <col min="11334" max="11334" width="12.7109375" style="6" bestFit="1" customWidth="1"/>
    <col min="11335" max="11581" width="9.140625" style="6"/>
    <col min="11582" max="11582" width="6.140625" style="6" customWidth="1"/>
    <col min="11583" max="11583" width="41" style="6" customWidth="1"/>
    <col min="11584" max="11584" width="10.85546875" style="6" customWidth="1"/>
    <col min="11585" max="11585" width="8.7109375" style="6" customWidth="1"/>
    <col min="11586" max="11586" width="14.42578125" style="6" customWidth="1"/>
    <col min="11587" max="11587" width="15.7109375" style="6" bestFit="1" customWidth="1"/>
    <col min="11588" max="11588" width="15.7109375" style="6" customWidth="1"/>
    <col min="11589" max="11589" width="14.42578125" style="6" bestFit="1" customWidth="1"/>
    <col min="11590" max="11590" width="12.7109375" style="6" bestFit="1" customWidth="1"/>
    <col min="11591" max="11837" width="9.140625" style="6"/>
    <col min="11838" max="11838" width="6.140625" style="6" customWidth="1"/>
    <col min="11839" max="11839" width="41" style="6" customWidth="1"/>
    <col min="11840" max="11840" width="10.85546875" style="6" customWidth="1"/>
    <col min="11841" max="11841" width="8.7109375" style="6" customWidth="1"/>
    <col min="11842" max="11842" width="14.42578125" style="6" customWidth="1"/>
    <col min="11843" max="11843" width="15.7109375" style="6" bestFit="1" customWidth="1"/>
    <col min="11844" max="11844" width="15.7109375" style="6" customWidth="1"/>
    <col min="11845" max="11845" width="14.42578125" style="6" bestFit="1" customWidth="1"/>
    <col min="11846" max="11846" width="12.7109375" style="6" bestFit="1" customWidth="1"/>
    <col min="11847" max="12093" width="9.140625" style="6"/>
    <col min="12094" max="12094" width="6.140625" style="6" customWidth="1"/>
    <col min="12095" max="12095" width="41" style="6" customWidth="1"/>
    <col min="12096" max="12096" width="10.85546875" style="6" customWidth="1"/>
    <col min="12097" max="12097" width="8.7109375" style="6" customWidth="1"/>
    <col min="12098" max="12098" width="14.42578125" style="6" customWidth="1"/>
    <col min="12099" max="12099" width="15.7109375" style="6" bestFit="1" customWidth="1"/>
    <col min="12100" max="12100" width="15.7109375" style="6" customWidth="1"/>
    <col min="12101" max="12101" width="14.42578125" style="6" bestFit="1" customWidth="1"/>
    <col min="12102" max="12102" width="12.7109375" style="6" bestFit="1" customWidth="1"/>
    <col min="12103" max="12349" width="9.140625" style="6"/>
    <col min="12350" max="12350" width="6.140625" style="6" customWidth="1"/>
    <col min="12351" max="12351" width="41" style="6" customWidth="1"/>
    <col min="12352" max="12352" width="10.85546875" style="6" customWidth="1"/>
    <col min="12353" max="12353" width="8.7109375" style="6" customWidth="1"/>
    <col min="12354" max="12354" width="14.42578125" style="6" customWidth="1"/>
    <col min="12355" max="12355" width="15.7109375" style="6" bestFit="1" customWidth="1"/>
    <col min="12356" max="12356" width="15.7109375" style="6" customWidth="1"/>
    <col min="12357" max="12357" width="14.42578125" style="6" bestFit="1" customWidth="1"/>
    <col min="12358" max="12358" width="12.7109375" style="6" bestFit="1" customWidth="1"/>
    <col min="12359" max="12605" width="9.140625" style="6"/>
    <col min="12606" max="12606" width="6.140625" style="6" customWidth="1"/>
    <col min="12607" max="12607" width="41" style="6" customWidth="1"/>
    <col min="12608" max="12608" width="10.85546875" style="6" customWidth="1"/>
    <col min="12609" max="12609" width="8.7109375" style="6" customWidth="1"/>
    <col min="12610" max="12610" width="14.42578125" style="6" customWidth="1"/>
    <col min="12611" max="12611" width="15.7109375" style="6" bestFit="1" customWidth="1"/>
    <col min="12612" max="12612" width="15.7109375" style="6" customWidth="1"/>
    <col min="12613" max="12613" width="14.42578125" style="6" bestFit="1" customWidth="1"/>
    <col min="12614" max="12614" width="12.7109375" style="6" bestFit="1" customWidth="1"/>
    <col min="12615" max="12861" width="9.140625" style="6"/>
    <col min="12862" max="12862" width="6.140625" style="6" customWidth="1"/>
    <col min="12863" max="12863" width="41" style="6" customWidth="1"/>
    <col min="12864" max="12864" width="10.85546875" style="6" customWidth="1"/>
    <col min="12865" max="12865" width="8.7109375" style="6" customWidth="1"/>
    <col min="12866" max="12866" width="14.42578125" style="6" customWidth="1"/>
    <col min="12867" max="12867" width="15.7109375" style="6" bestFit="1" customWidth="1"/>
    <col min="12868" max="12868" width="15.7109375" style="6" customWidth="1"/>
    <col min="12869" max="12869" width="14.42578125" style="6" bestFit="1" customWidth="1"/>
    <col min="12870" max="12870" width="12.7109375" style="6" bestFit="1" customWidth="1"/>
    <col min="12871" max="13117" width="9.140625" style="6"/>
    <col min="13118" max="13118" width="6.140625" style="6" customWidth="1"/>
    <col min="13119" max="13119" width="41" style="6" customWidth="1"/>
    <col min="13120" max="13120" width="10.85546875" style="6" customWidth="1"/>
    <col min="13121" max="13121" width="8.7109375" style="6" customWidth="1"/>
    <col min="13122" max="13122" width="14.42578125" style="6" customWidth="1"/>
    <col min="13123" max="13123" width="15.7109375" style="6" bestFit="1" customWidth="1"/>
    <col min="13124" max="13124" width="15.7109375" style="6" customWidth="1"/>
    <col min="13125" max="13125" width="14.42578125" style="6" bestFit="1" customWidth="1"/>
    <col min="13126" max="13126" width="12.7109375" style="6" bestFit="1" customWidth="1"/>
    <col min="13127" max="13373" width="9.140625" style="6"/>
    <col min="13374" max="13374" width="6.140625" style="6" customWidth="1"/>
    <col min="13375" max="13375" width="41" style="6" customWidth="1"/>
    <col min="13376" max="13376" width="10.85546875" style="6" customWidth="1"/>
    <col min="13377" max="13377" width="8.7109375" style="6" customWidth="1"/>
    <col min="13378" max="13378" width="14.42578125" style="6" customWidth="1"/>
    <col min="13379" max="13379" width="15.7109375" style="6" bestFit="1" customWidth="1"/>
    <col min="13380" max="13380" width="15.7109375" style="6" customWidth="1"/>
    <col min="13381" max="13381" width="14.42578125" style="6" bestFit="1" customWidth="1"/>
    <col min="13382" max="13382" width="12.7109375" style="6" bestFit="1" customWidth="1"/>
    <col min="13383" max="13629" width="9.140625" style="6"/>
    <col min="13630" max="13630" width="6.140625" style="6" customWidth="1"/>
    <col min="13631" max="13631" width="41" style="6" customWidth="1"/>
    <col min="13632" max="13632" width="10.85546875" style="6" customWidth="1"/>
    <col min="13633" max="13633" width="8.7109375" style="6" customWidth="1"/>
    <col min="13634" max="13634" width="14.42578125" style="6" customWidth="1"/>
    <col min="13635" max="13635" width="15.7109375" style="6" bestFit="1" customWidth="1"/>
    <col min="13636" max="13636" width="15.7109375" style="6" customWidth="1"/>
    <col min="13637" max="13637" width="14.42578125" style="6" bestFit="1" customWidth="1"/>
    <col min="13638" max="13638" width="12.7109375" style="6" bestFit="1" customWidth="1"/>
    <col min="13639" max="13885" width="9.140625" style="6"/>
    <col min="13886" max="13886" width="6.140625" style="6" customWidth="1"/>
    <col min="13887" max="13887" width="41" style="6" customWidth="1"/>
    <col min="13888" max="13888" width="10.85546875" style="6" customWidth="1"/>
    <col min="13889" max="13889" width="8.7109375" style="6" customWidth="1"/>
    <col min="13890" max="13890" width="14.42578125" style="6" customWidth="1"/>
    <col min="13891" max="13891" width="15.7109375" style="6" bestFit="1" customWidth="1"/>
    <col min="13892" max="13892" width="15.7109375" style="6" customWidth="1"/>
    <col min="13893" max="13893" width="14.42578125" style="6" bestFit="1" customWidth="1"/>
    <col min="13894" max="13894" width="12.7109375" style="6" bestFit="1" customWidth="1"/>
    <col min="13895" max="14141" width="9.140625" style="6"/>
    <col min="14142" max="14142" width="6.140625" style="6" customWidth="1"/>
    <col min="14143" max="14143" width="41" style="6" customWidth="1"/>
    <col min="14144" max="14144" width="10.85546875" style="6" customWidth="1"/>
    <col min="14145" max="14145" width="8.7109375" style="6" customWidth="1"/>
    <col min="14146" max="14146" width="14.42578125" style="6" customWidth="1"/>
    <col min="14147" max="14147" width="15.7109375" style="6" bestFit="1" customWidth="1"/>
    <col min="14148" max="14148" width="15.7109375" style="6" customWidth="1"/>
    <col min="14149" max="14149" width="14.42578125" style="6" bestFit="1" customWidth="1"/>
    <col min="14150" max="14150" width="12.7109375" style="6" bestFit="1" customWidth="1"/>
    <col min="14151" max="14397" width="9.140625" style="6"/>
    <col min="14398" max="14398" width="6.140625" style="6" customWidth="1"/>
    <col min="14399" max="14399" width="41" style="6" customWidth="1"/>
    <col min="14400" max="14400" width="10.85546875" style="6" customWidth="1"/>
    <col min="14401" max="14401" width="8.7109375" style="6" customWidth="1"/>
    <col min="14402" max="14402" width="14.42578125" style="6" customWidth="1"/>
    <col min="14403" max="14403" width="15.7109375" style="6" bestFit="1" customWidth="1"/>
    <col min="14404" max="14404" width="15.7109375" style="6" customWidth="1"/>
    <col min="14405" max="14405" width="14.42578125" style="6" bestFit="1" customWidth="1"/>
    <col min="14406" max="14406" width="12.7109375" style="6" bestFit="1" customWidth="1"/>
    <col min="14407" max="14653" width="9.140625" style="6"/>
    <col min="14654" max="14654" width="6.140625" style="6" customWidth="1"/>
    <col min="14655" max="14655" width="41" style="6" customWidth="1"/>
    <col min="14656" max="14656" width="10.85546875" style="6" customWidth="1"/>
    <col min="14657" max="14657" width="8.7109375" style="6" customWidth="1"/>
    <col min="14658" max="14658" width="14.42578125" style="6" customWidth="1"/>
    <col min="14659" max="14659" width="15.7109375" style="6" bestFit="1" customWidth="1"/>
    <col min="14660" max="14660" width="15.7109375" style="6" customWidth="1"/>
    <col min="14661" max="14661" width="14.42578125" style="6" bestFit="1" customWidth="1"/>
    <col min="14662" max="14662" width="12.7109375" style="6" bestFit="1" customWidth="1"/>
    <col min="14663" max="14909" width="9.140625" style="6"/>
    <col min="14910" max="14910" width="6.140625" style="6" customWidth="1"/>
    <col min="14911" max="14911" width="41" style="6" customWidth="1"/>
    <col min="14912" max="14912" width="10.85546875" style="6" customWidth="1"/>
    <col min="14913" max="14913" width="8.7109375" style="6" customWidth="1"/>
    <col min="14914" max="14914" width="14.42578125" style="6" customWidth="1"/>
    <col min="14915" max="14915" width="15.7109375" style="6" bestFit="1" customWidth="1"/>
    <col min="14916" max="14916" width="15.7109375" style="6" customWidth="1"/>
    <col min="14917" max="14917" width="14.42578125" style="6" bestFit="1" customWidth="1"/>
    <col min="14918" max="14918" width="12.7109375" style="6" bestFit="1" customWidth="1"/>
    <col min="14919" max="15165" width="9.140625" style="6"/>
    <col min="15166" max="15166" width="6.140625" style="6" customWidth="1"/>
    <col min="15167" max="15167" width="41" style="6" customWidth="1"/>
    <col min="15168" max="15168" width="10.85546875" style="6" customWidth="1"/>
    <col min="15169" max="15169" width="8.7109375" style="6" customWidth="1"/>
    <col min="15170" max="15170" width="14.42578125" style="6" customWidth="1"/>
    <col min="15171" max="15171" width="15.7109375" style="6" bestFit="1" customWidth="1"/>
    <col min="15172" max="15172" width="15.7109375" style="6" customWidth="1"/>
    <col min="15173" max="15173" width="14.42578125" style="6" bestFit="1" customWidth="1"/>
    <col min="15174" max="15174" width="12.7109375" style="6" bestFit="1" customWidth="1"/>
    <col min="15175" max="15421" width="9.140625" style="6"/>
    <col min="15422" max="15422" width="6.140625" style="6" customWidth="1"/>
    <col min="15423" max="15423" width="41" style="6" customWidth="1"/>
    <col min="15424" max="15424" width="10.85546875" style="6" customWidth="1"/>
    <col min="15425" max="15425" width="8.7109375" style="6" customWidth="1"/>
    <col min="15426" max="15426" width="14.42578125" style="6" customWidth="1"/>
    <col min="15427" max="15427" width="15.7109375" style="6" bestFit="1" customWidth="1"/>
    <col min="15428" max="15428" width="15.7109375" style="6" customWidth="1"/>
    <col min="15429" max="15429" width="14.42578125" style="6" bestFit="1" customWidth="1"/>
    <col min="15430" max="15430" width="12.7109375" style="6" bestFit="1" customWidth="1"/>
    <col min="15431" max="15677" width="9.140625" style="6"/>
    <col min="15678" max="15678" width="6.140625" style="6" customWidth="1"/>
    <col min="15679" max="15679" width="41" style="6" customWidth="1"/>
    <col min="15680" max="15680" width="10.85546875" style="6" customWidth="1"/>
    <col min="15681" max="15681" width="8.7109375" style="6" customWidth="1"/>
    <col min="15682" max="15682" width="14.42578125" style="6" customWidth="1"/>
    <col min="15683" max="15683" width="15.7109375" style="6" bestFit="1" customWidth="1"/>
    <col min="15684" max="15684" width="15.7109375" style="6" customWidth="1"/>
    <col min="15685" max="15685" width="14.42578125" style="6" bestFit="1" customWidth="1"/>
    <col min="15686" max="15686" width="12.7109375" style="6" bestFit="1" customWidth="1"/>
    <col min="15687" max="15933" width="9.140625" style="6"/>
    <col min="15934" max="15934" width="6.140625" style="6" customWidth="1"/>
    <col min="15935" max="15935" width="41" style="6" customWidth="1"/>
    <col min="15936" max="15936" width="10.85546875" style="6" customWidth="1"/>
    <col min="15937" max="15937" width="8.7109375" style="6" customWidth="1"/>
    <col min="15938" max="15938" width="14.42578125" style="6" customWidth="1"/>
    <col min="15939" max="15939" width="15.7109375" style="6" bestFit="1" customWidth="1"/>
    <col min="15940" max="15940" width="15.7109375" style="6" customWidth="1"/>
    <col min="15941" max="15941" width="14.42578125" style="6" bestFit="1" customWidth="1"/>
    <col min="15942" max="15942" width="12.7109375" style="6" bestFit="1" customWidth="1"/>
    <col min="15943" max="16384" width="11" style="6"/>
  </cols>
  <sheetData>
    <row r="1" spans="1:12" ht="18.75">
      <c r="A1" s="40"/>
      <c r="B1" s="40"/>
      <c r="C1" s="40"/>
      <c r="D1" s="40"/>
      <c r="E1" s="40"/>
      <c r="F1" s="40"/>
      <c r="G1" s="40"/>
    </row>
    <row r="2" spans="1:12">
      <c r="C2" s="3"/>
      <c r="D2" s="4"/>
      <c r="E2" s="75"/>
      <c r="F2" s="7"/>
      <c r="G2" s="5"/>
    </row>
    <row r="3" spans="1:12" ht="15" customHeight="1">
      <c r="A3" s="165" t="s">
        <v>0</v>
      </c>
      <c r="B3" s="166" t="s">
        <v>1</v>
      </c>
      <c r="C3" s="166"/>
      <c r="D3" s="166"/>
      <c r="E3" s="166"/>
      <c r="F3" s="166"/>
      <c r="G3" s="166"/>
    </row>
    <row r="4" spans="1:12" ht="12.75" customHeight="1">
      <c r="A4" s="165"/>
      <c r="B4" s="166"/>
      <c r="C4" s="166"/>
      <c r="D4" s="166"/>
      <c r="E4" s="166"/>
      <c r="F4" s="166"/>
      <c r="G4" s="166"/>
    </row>
    <row r="5" spans="1:12" ht="15.75">
      <c r="C5" s="4"/>
      <c r="D5" s="7"/>
      <c r="E5" s="76"/>
      <c r="F5" s="16"/>
      <c r="G5" s="17"/>
    </row>
    <row r="6" spans="1:12" ht="19.5" customHeight="1">
      <c r="A6" s="20" t="s">
        <v>2</v>
      </c>
      <c r="B6" s="144" t="s">
        <v>3</v>
      </c>
      <c r="C6" s="8"/>
      <c r="D6" s="164"/>
      <c r="E6" s="164"/>
      <c r="F6" s="163"/>
      <c r="G6" s="163"/>
    </row>
    <row r="7" spans="1:12" ht="18.75" customHeight="1">
      <c r="A7" s="9"/>
      <c r="B7" s="143"/>
      <c r="C7" s="8"/>
      <c r="D7" s="164"/>
      <c r="E7" s="164"/>
      <c r="F7" s="163"/>
      <c r="G7" s="163"/>
    </row>
    <row r="8" spans="1:12" ht="22.5" customHeight="1">
      <c r="A8" s="9"/>
      <c r="B8" s="14"/>
      <c r="C8" s="8"/>
      <c r="E8" s="77"/>
      <c r="F8" s="15"/>
      <c r="G8" s="15"/>
    </row>
    <row r="9" spans="1:12" ht="24" customHeight="1">
      <c r="A9" s="22" t="s">
        <v>4</v>
      </c>
      <c r="B9" s="23" t="s">
        <v>5</v>
      </c>
      <c r="C9" s="23" t="s">
        <v>6</v>
      </c>
      <c r="D9" s="23" t="s">
        <v>7</v>
      </c>
      <c r="E9" s="152" t="s">
        <v>8</v>
      </c>
      <c r="F9" s="23" t="s">
        <v>9</v>
      </c>
      <c r="G9" s="23"/>
    </row>
    <row r="10" spans="1:12" ht="21" customHeight="1">
      <c r="A10" s="47">
        <v>1</v>
      </c>
      <c r="B10" s="149" t="s">
        <v>10</v>
      </c>
      <c r="C10" s="150"/>
      <c r="D10" s="150"/>
      <c r="E10" s="153"/>
      <c r="F10" s="150"/>
      <c r="G10" s="151"/>
      <c r="K10" s="39"/>
      <c r="L10" s="39"/>
    </row>
    <row r="11" spans="1:12" ht="18" customHeight="1">
      <c r="A11" s="66">
        <f t="shared" ref="A11:A20" si="0">A10+0.01</f>
        <v>1.01</v>
      </c>
      <c r="B11" s="67" t="s">
        <v>11</v>
      </c>
      <c r="C11" s="88">
        <v>70</v>
      </c>
      <c r="D11" s="68" t="s">
        <v>12</v>
      </c>
      <c r="E11" s="154"/>
      <c r="F11" s="69">
        <f>ROUND(C11*E11,2)</f>
        <v>0</v>
      </c>
      <c r="G11" s="70"/>
      <c r="H11" s="108"/>
      <c r="I11" s="108"/>
      <c r="K11" s="39"/>
      <c r="L11" s="39"/>
    </row>
    <row r="12" spans="1:12" ht="21" customHeight="1">
      <c r="A12" s="91">
        <f t="shared" si="0"/>
        <v>1.02</v>
      </c>
      <c r="B12" s="92" t="s">
        <v>13</v>
      </c>
      <c r="C12" s="71">
        <f>(C26*0.3)+(C26*0.17)</f>
        <v>31.020000000000003</v>
      </c>
      <c r="D12" s="93" t="s">
        <v>12</v>
      </c>
      <c r="E12" s="155"/>
      <c r="F12" s="95">
        <f>ROUND(C12*E12,2)</f>
        <v>0</v>
      </c>
      <c r="G12" s="94"/>
      <c r="H12" s="108"/>
      <c r="I12" s="108"/>
      <c r="K12" s="39"/>
      <c r="L12" s="39"/>
    </row>
    <row r="13" spans="1:12" ht="21" customHeight="1">
      <c r="A13" s="91">
        <f t="shared" si="0"/>
        <v>1.03</v>
      </c>
      <c r="B13" s="92" t="s">
        <v>14</v>
      </c>
      <c r="C13" s="71">
        <f>C30*0.25</f>
        <v>35.5</v>
      </c>
      <c r="D13" s="93" t="s">
        <v>12</v>
      </c>
      <c r="E13" s="155"/>
      <c r="F13" s="95">
        <f>ROUND(C13*E13,2)</f>
        <v>0</v>
      </c>
      <c r="G13" s="94"/>
      <c r="H13" s="108"/>
      <c r="I13" s="108"/>
      <c r="K13" s="39"/>
      <c r="L13" s="39"/>
    </row>
    <row r="14" spans="1:12" ht="21" customHeight="1">
      <c r="A14" s="91">
        <f>A13+0.01</f>
        <v>1.04</v>
      </c>
      <c r="B14" s="92" t="s">
        <v>15</v>
      </c>
      <c r="C14" s="71">
        <v>29.88</v>
      </c>
      <c r="D14" s="93" t="s">
        <v>12</v>
      </c>
      <c r="E14" s="155"/>
      <c r="F14" s="95">
        <f t="shared" ref="F14:F20" si="1">ROUND(C14*E14,2)</f>
        <v>0</v>
      </c>
      <c r="G14" s="94"/>
      <c r="H14" s="108"/>
      <c r="I14" s="108"/>
      <c r="K14" s="39"/>
      <c r="L14" s="39"/>
    </row>
    <row r="15" spans="1:12" ht="21" customHeight="1">
      <c r="A15" s="91">
        <f t="shared" si="0"/>
        <v>1.05</v>
      </c>
      <c r="B15" s="92" t="s">
        <v>16</v>
      </c>
      <c r="C15" s="71">
        <v>1</v>
      </c>
      <c r="D15" s="93" t="s">
        <v>17</v>
      </c>
      <c r="E15" s="155"/>
      <c r="F15" s="95">
        <f t="shared" si="1"/>
        <v>0</v>
      </c>
      <c r="G15" s="94"/>
      <c r="H15" s="108"/>
      <c r="I15" s="108"/>
      <c r="K15" s="39"/>
      <c r="L15" s="39"/>
    </row>
    <row r="16" spans="1:12" ht="21" customHeight="1">
      <c r="A16" s="91">
        <f t="shared" si="0"/>
        <v>1.06</v>
      </c>
      <c r="B16" s="92" t="s">
        <v>18</v>
      </c>
      <c r="C16" s="71">
        <v>83.52</v>
      </c>
      <c r="D16" s="93" t="s">
        <v>12</v>
      </c>
      <c r="E16" s="155"/>
      <c r="F16" s="95">
        <f t="shared" si="1"/>
        <v>0</v>
      </c>
      <c r="G16" s="94"/>
      <c r="H16" s="108"/>
      <c r="I16" s="108"/>
      <c r="K16" s="39"/>
      <c r="L16" s="39"/>
    </row>
    <row r="17" spans="1:12" ht="21" customHeight="1">
      <c r="A17" s="91">
        <f t="shared" si="0"/>
        <v>1.07</v>
      </c>
      <c r="B17" s="92" t="s">
        <v>19</v>
      </c>
      <c r="C17" s="71">
        <v>10</v>
      </c>
      <c r="D17" s="93" t="s">
        <v>20</v>
      </c>
      <c r="E17" s="155"/>
      <c r="F17" s="95">
        <f t="shared" si="1"/>
        <v>0</v>
      </c>
      <c r="G17" s="94"/>
      <c r="H17" s="108"/>
      <c r="I17" s="108"/>
      <c r="K17" s="39"/>
      <c r="L17" s="39"/>
    </row>
    <row r="18" spans="1:12" ht="21" customHeight="1">
      <c r="A18" s="91">
        <f t="shared" si="0"/>
        <v>1.08</v>
      </c>
      <c r="B18" s="92" t="s">
        <v>21</v>
      </c>
      <c r="C18" s="71">
        <v>12.1</v>
      </c>
      <c r="D18" s="93" t="s">
        <v>22</v>
      </c>
      <c r="E18" s="155"/>
      <c r="F18" s="95">
        <f t="shared" si="1"/>
        <v>0</v>
      </c>
      <c r="G18" s="94"/>
      <c r="H18" s="108"/>
      <c r="I18" s="108"/>
      <c r="K18" s="39"/>
      <c r="L18" s="39"/>
    </row>
    <row r="19" spans="1:12" ht="20.25" customHeight="1">
      <c r="A19" s="91">
        <f t="shared" si="0"/>
        <v>1.0900000000000001</v>
      </c>
      <c r="B19" s="92" t="s">
        <v>23</v>
      </c>
      <c r="C19" s="71">
        <v>1</v>
      </c>
      <c r="D19" s="93" t="s">
        <v>20</v>
      </c>
      <c r="E19" s="155"/>
      <c r="F19" s="95">
        <f t="shared" si="1"/>
        <v>0</v>
      </c>
      <c r="G19" s="94"/>
      <c r="H19" s="108"/>
      <c r="I19" s="108"/>
      <c r="K19" s="39"/>
      <c r="L19" s="39"/>
    </row>
    <row r="20" spans="1:12" s="21" customFormat="1" ht="21" customHeight="1">
      <c r="A20" s="91">
        <f t="shared" si="0"/>
        <v>1.1000000000000001</v>
      </c>
      <c r="B20" s="92" t="s">
        <v>24</v>
      </c>
      <c r="C20" s="71">
        <v>1</v>
      </c>
      <c r="D20" s="93" t="s">
        <v>25</v>
      </c>
      <c r="E20" s="155"/>
      <c r="F20" s="95">
        <f t="shared" si="1"/>
        <v>0</v>
      </c>
      <c r="G20" s="96"/>
      <c r="H20" s="108"/>
      <c r="I20" s="108"/>
      <c r="J20" s="6"/>
      <c r="K20" s="39"/>
      <c r="L20" s="39"/>
    </row>
    <row r="21" spans="1:12" s="21" customFormat="1" ht="21" customHeight="1">
      <c r="A21" s="24"/>
      <c r="B21" s="25" t="s">
        <v>26</v>
      </c>
      <c r="C21" s="26"/>
      <c r="D21" s="27"/>
      <c r="E21" s="156"/>
      <c r="F21" s="28"/>
      <c r="G21" s="29">
        <f>SUM(F11:F20)</f>
        <v>0</v>
      </c>
      <c r="H21" s="108"/>
      <c r="I21" s="108"/>
      <c r="J21" s="6"/>
      <c r="K21" s="39"/>
      <c r="L21" s="39"/>
    </row>
    <row r="22" spans="1:12" s="21" customFormat="1" ht="21" customHeight="1">
      <c r="A22" s="41"/>
      <c r="B22" s="42"/>
      <c r="C22" s="43"/>
      <c r="D22" s="44"/>
      <c r="E22" s="157"/>
      <c r="F22" s="45"/>
      <c r="G22" s="46"/>
      <c r="H22" s="108"/>
      <c r="I22" s="108"/>
      <c r="J22" s="6"/>
      <c r="K22" s="39"/>
      <c r="L22" s="39"/>
    </row>
    <row r="23" spans="1:12" ht="21" customHeight="1">
      <c r="A23" s="47">
        <v>2</v>
      </c>
      <c r="B23" s="146" t="s">
        <v>27</v>
      </c>
      <c r="C23" s="147"/>
      <c r="D23" s="147"/>
      <c r="E23" s="158"/>
      <c r="F23" s="147"/>
      <c r="G23" s="148"/>
      <c r="H23" s="108"/>
      <c r="I23" s="108"/>
      <c r="K23" s="39"/>
      <c r="L23" s="39"/>
    </row>
    <row r="24" spans="1:12" ht="30.75" customHeight="1">
      <c r="A24" s="119">
        <f t="shared" ref="A24:A34" si="2">A23+0.01</f>
        <v>2.0099999999999998</v>
      </c>
      <c r="B24" s="98" t="s">
        <v>28</v>
      </c>
      <c r="C24" s="88">
        <v>3</v>
      </c>
      <c r="D24" s="93" t="s">
        <v>12</v>
      </c>
      <c r="E24" s="155"/>
      <c r="F24" s="101">
        <f t="shared" ref="F24:F34" si="3">ROUND(C24*E24,2)</f>
        <v>0</v>
      </c>
      <c r="G24" s="118"/>
      <c r="H24" s="108"/>
      <c r="I24" s="108"/>
      <c r="K24" s="39"/>
      <c r="L24" s="39"/>
    </row>
    <row r="25" spans="1:12" ht="30.75" customHeight="1">
      <c r="A25" s="119">
        <f t="shared" si="2"/>
        <v>2.0199999999999996</v>
      </c>
      <c r="B25" s="98" t="s">
        <v>29</v>
      </c>
      <c r="C25" s="88">
        <v>3</v>
      </c>
      <c r="D25" s="93" t="s">
        <v>12</v>
      </c>
      <c r="E25" s="154"/>
      <c r="F25" s="101">
        <f t="shared" si="3"/>
        <v>0</v>
      </c>
      <c r="G25" s="118"/>
      <c r="H25" s="108"/>
      <c r="I25" s="108"/>
      <c r="K25" s="39"/>
      <c r="L25" s="39"/>
    </row>
    <row r="26" spans="1:12" ht="30" customHeight="1">
      <c r="A26" s="119">
        <f t="shared" si="2"/>
        <v>2.0299999999999994</v>
      </c>
      <c r="B26" s="98" t="s">
        <v>30</v>
      </c>
      <c r="C26" s="88">
        <v>66</v>
      </c>
      <c r="D26" s="68" t="s">
        <v>22</v>
      </c>
      <c r="E26" s="154"/>
      <c r="F26" s="117">
        <f t="shared" si="3"/>
        <v>0</v>
      </c>
      <c r="G26" s="106"/>
      <c r="H26" s="108"/>
      <c r="I26" s="108"/>
      <c r="K26" s="39"/>
      <c r="L26" s="39"/>
    </row>
    <row r="27" spans="1:12" ht="30" customHeight="1">
      <c r="A27" s="119">
        <f t="shared" si="2"/>
        <v>2.0399999999999991</v>
      </c>
      <c r="B27" s="98" t="s">
        <v>31</v>
      </c>
      <c r="C27" s="88">
        <v>425</v>
      </c>
      <c r="D27" s="68" t="s">
        <v>22</v>
      </c>
      <c r="E27" s="159"/>
      <c r="F27" s="105">
        <f t="shared" si="3"/>
        <v>0</v>
      </c>
      <c r="G27" s="101"/>
      <c r="H27" s="108"/>
      <c r="I27" s="108"/>
      <c r="K27" s="39"/>
      <c r="L27" s="39"/>
    </row>
    <row r="28" spans="1:12" ht="30" customHeight="1">
      <c r="A28" s="119">
        <f t="shared" si="2"/>
        <v>2.0499999999999989</v>
      </c>
      <c r="B28" s="98" t="s">
        <v>32</v>
      </c>
      <c r="C28" s="88">
        <v>59</v>
      </c>
      <c r="D28" s="68" t="s">
        <v>22</v>
      </c>
      <c r="E28" s="159"/>
      <c r="F28" s="105">
        <f t="shared" si="3"/>
        <v>0</v>
      </c>
      <c r="G28" s="101"/>
      <c r="H28" s="108"/>
      <c r="I28" s="108"/>
      <c r="K28" s="39"/>
      <c r="L28" s="39"/>
    </row>
    <row r="29" spans="1:12" ht="30" customHeight="1">
      <c r="A29" s="119">
        <f t="shared" si="2"/>
        <v>2.0599999999999987</v>
      </c>
      <c r="B29" s="98" t="s">
        <v>33</v>
      </c>
      <c r="C29" s="88">
        <v>48</v>
      </c>
      <c r="D29" s="93" t="s">
        <v>12</v>
      </c>
      <c r="E29" s="155"/>
      <c r="F29" s="101">
        <f t="shared" si="3"/>
        <v>0</v>
      </c>
      <c r="G29" s="101"/>
      <c r="H29" s="108"/>
      <c r="I29" s="108"/>
      <c r="K29" s="39"/>
      <c r="L29" s="39"/>
    </row>
    <row r="30" spans="1:12" ht="31.5" customHeight="1">
      <c r="A30" s="119">
        <f t="shared" si="2"/>
        <v>2.0699999999999985</v>
      </c>
      <c r="B30" s="99" t="s">
        <v>34</v>
      </c>
      <c r="C30" s="71">
        <v>142</v>
      </c>
      <c r="D30" s="93" t="s">
        <v>22</v>
      </c>
      <c r="E30" s="160"/>
      <c r="F30" s="104">
        <f>ROUND(C30*E30,2)</f>
        <v>0</v>
      </c>
      <c r="G30" s="70"/>
      <c r="H30" s="108"/>
      <c r="I30" s="108"/>
      <c r="K30" s="39"/>
      <c r="L30" s="39"/>
    </row>
    <row r="31" spans="1:12" ht="27" customHeight="1">
      <c r="A31" s="119">
        <f t="shared" si="2"/>
        <v>2.0799999999999983</v>
      </c>
      <c r="B31" s="92" t="s">
        <v>35</v>
      </c>
      <c r="C31" s="71">
        <v>70</v>
      </c>
      <c r="D31" s="93" t="s">
        <v>12</v>
      </c>
      <c r="E31" s="155"/>
      <c r="F31" s="101">
        <f t="shared" si="3"/>
        <v>0</v>
      </c>
      <c r="G31" s="94"/>
      <c r="H31" s="108"/>
      <c r="I31" s="108"/>
      <c r="K31" s="39"/>
      <c r="L31" s="39"/>
    </row>
    <row r="32" spans="1:12" ht="30.75" customHeight="1">
      <c r="A32" s="119">
        <f t="shared" si="2"/>
        <v>2.0899999999999981</v>
      </c>
      <c r="B32" s="102" t="s">
        <v>36</v>
      </c>
      <c r="C32" s="71">
        <v>29.88</v>
      </c>
      <c r="D32" s="93" t="s">
        <v>12</v>
      </c>
      <c r="E32" s="155"/>
      <c r="F32" s="101">
        <f t="shared" si="3"/>
        <v>0</v>
      </c>
      <c r="G32" s="103"/>
      <c r="H32" s="108"/>
      <c r="I32" s="108"/>
      <c r="K32" s="39"/>
      <c r="L32" s="39"/>
    </row>
    <row r="33" spans="1:12" ht="48" customHeight="1">
      <c r="A33" s="119">
        <f t="shared" si="2"/>
        <v>2.0999999999999979</v>
      </c>
      <c r="B33" s="102" t="s">
        <v>37</v>
      </c>
      <c r="C33" s="71">
        <v>876.82</v>
      </c>
      <c r="D33" s="93" t="s">
        <v>12</v>
      </c>
      <c r="E33" s="155"/>
      <c r="F33" s="101">
        <f>ROUND(C33*E33,2)</f>
        <v>0</v>
      </c>
      <c r="G33" s="101"/>
      <c r="H33" s="108"/>
      <c r="I33" s="108"/>
      <c r="K33" s="39"/>
      <c r="L33" s="39"/>
    </row>
    <row r="34" spans="1:12" ht="22.5" customHeight="1">
      <c r="A34" s="119">
        <f t="shared" si="2"/>
        <v>2.1099999999999977</v>
      </c>
      <c r="B34" s="98" t="s">
        <v>38</v>
      </c>
      <c r="C34" s="71">
        <v>670</v>
      </c>
      <c r="D34" s="68" t="s">
        <v>12</v>
      </c>
      <c r="E34" s="159"/>
      <c r="F34" s="100">
        <f t="shared" si="3"/>
        <v>0</v>
      </c>
      <c r="G34" s="116"/>
      <c r="H34" s="108"/>
      <c r="I34" s="108"/>
      <c r="K34" s="39"/>
      <c r="L34" s="39"/>
    </row>
    <row r="35" spans="1:12" ht="23.25" customHeight="1">
      <c r="A35" s="24"/>
      <c r="B35" s="25"/>
      <c r="C35" s="26"/>
      <c r="D35" s="27"/>
      <c r="E35" s="156"/>
      <c r="F35" s="28"/>
      <c r="G35" s="29">
        <f>SUM(F24:F34)</f>
        <v>0</v>
      </c>
      <c r="H35" s="108"/>
      <c r="I35" s="108"/>
    </row>
    <row r="36" spans="1:12" ht="23.25" customHeight="1">
      <c r="A36" s="41"/>
      <c r="B36" s="42"/>
      <c r="C36" s="43"/>
      <c r="D36" s="44"/>
      <c r="E36" s="157"/>
      <c r="F36" s="45"/>
      <c r="G36" s="46"/>
      <c r="H36" s="108"/>
      <c r="I36" s="108"/>
    </row>
    <row r="37" spans="1:12" ht="19.5" customHeight="1">
      <c r="A37" s="47">
        <v>2</v>
      </c>
      <c r="B37" s="149" t="s">
        <v>39</v>
      </c>
      <c r="C37" s="150"/>
      <c r="D37" s="150"/>
      <c r="E37" s="153"/>
      <c r="F37" s="150"/>
      <c r="G37" s="151"/>
      <c r="H37" s="108"/>
      <c r="I37" s="108"/>
    </row>
    <row r="38" spans="1:12" ht="30.75" customHeight="1">
      <c r="A38" s="97">
        <f>A37+0.01</f>
        <v>2.0099999999999998</v>
      </c>
      <c r="B38" s="98" t="s">
        <v>40</v>
      </c>
      <c r="C38" s="88">
        <v>138</v>
      </c>
      <c r="D38" s="68" t="s">
        <v>12</v>
      </c>
      <c r="E38" s="154"/>
      <c r="F38" s="70">
        <f>ROUND(C38*E38,2)</f>
        <v>0</v>
      </c>
      <c r="G38" s="70"/>
      <c r="H38" s="108"/>
      <c r="I38" s="108"/>
    </row>
    <row r="39" spans="1:12" ht="32.25" customHeight="1">
      <c r="A39" s="91">
        <f>A38+0.01</f>
        <v>2.0199999999999996</v>
      </c>
      <c r="B39" s="98" t="s">
        <v>41</v>
      </c>
      <c r="C39" s="71">
        <v>15.52</v>
      </c>
      <c r="D39" s="68" t="s">
        <v>12</v>
      </c>
      <c r="E39" s="159"/>
      <c r="F39" s="100">
        <f>ROUND(C39*E39,2)</f>
        <v>0</v>
      </c>
      <c r="G39" s="96"/>
      <c r="H39" s="108"/>
      <c r="I39" s="108"/>
    </row>
    <row r="40" spans="1:12" ht="22.5" customHeight="1">
      <c r="A40" s="91">
        <f>A39+0.01</f>
        <v>2.0299999999999994</v>
      </c>
      <c r="B40" s="98" t="s">
        <v>42</v>
      </c>
      <c r="C40" s="71">
        <v>12.1</v>
      </c>
      <c r="D40" s="68" t="s">
        <v>22</v>
      </c>
      <c r="E40" s="155"/>
      <c r="F40" s="101">
        <f>ROUND(C40*E40,2)</f>
        <v>0</v>
      </c>
      <c r="G40" s="94"/>
      <c r="H40" s="108"/>
      <c r="I40" s="108"/>
    </row>
    <row r="41" spans="1:12" ht="23.25" customHeight="1">
      <c r="A41" s="24"/>
      <c r="B41" s="25" t="s">
        <v>26</v>
      </c>
      <c r="C41" s="26"/>
      <c r="D41" s="27"/>
      <c r="E41" s="156"/>
      <c r="F41" s="28"/>
      <c r="G41" s="29">
        <f>SUM(F38:F40)</f>
        <v>0</v>
      </c>
      <c r="H41" s="108"/>
      <c r="I41" s="108"/>
    </row>
    <row r="42" spans="1:12" ht="23.25" customHeight="1">
      <c r="A42" s="41"/>
      <c r="B42" s="42"/>
      <c r="C42" s="43"/>
      <c r="D42" s="44"/>
      <c r="E42" s="157"/>
      <c r="F42" s="45"/>
      <c r="G42" s="46"/>
      <c r="H42" s="108"/>
      <c r="I42" s="108"/>
    </row>
    <row r="43" spans="1:12" ht="23.25" customHeight="1">
      <c r="A43" s="47">
        <v>2</v>
      </c>
      <c r="B43" s="149" t="s">
        <v>43</v>
      </c>
      <c r="C43" s="150"/>
      <c r="D43" s="150"/>
      <c r="E43" s="153"/>
      <c r="F43" s="150"/>
      <c r="G43" s="151"/>
      <c r="H43" s="108"/>
      <c r="I43" s="108"/>
    </row>
    <row r="44" spans="1:12" ht="21" customHeight="1">
      <c r="A44" s="91">
        <f>A43+0.01</f>
        <v>2.0099999999999998</v>
      </c>
      <c r="B44" s="98" t="s">
        <v>44</v>
      </c>
      <c r="C44" s="71">
        <v>1</v>
      </c>
      <c r="D44" s="68" t="s">
        <v>20</v>
      </c>
      <c r="E44" s="159"/>
      <c r="F44" s="100">
        <f t="shared" ref="F44:F52" si="4">ROUND(C44*E44,2)</f>
        <v>0</v>
      </c>
      <c r="G44" s="96"/>
      <c r="H44" s="108"/>
      <c r="I44" s="108"/>
    </row>
    <row r="45" spans="1:12" ht="19.5" customHeight="1">
      <c r="A45" s="91">
        <f t="shared" ref="A45:A52" si="5">A44+0.01</f>
        <v>2.0199999999999996</v>
      </c>
      <c r="B45" s="98" t="s">
        <v>45</v>
      </c>
      <c r="C45" s="71">
        <v>1</v>
      </c>
      <c r="D45" s="68" t="s">
        <v>17</v>
      </c>
      <c r="E45" s="159"/>
      <c r="F45" s="100">
        <f t="shared" si="4"/>
        <v>0</v>
      </c>
      <c r="G45" s="94"/>
      <c r="H45" s="108"/>
      <c r="I45" s="108"/>
    </row>
    <row r="46" spans="1:12" ht="29.25" customHeight="1">
      <c r="A46" s="91">
        <f t="shared" si="5"/>
        <v>2.0299999999999994</v>
      </c>
      <c r="B46" s="98" t="s">
        <v>46</v>
      </c>
      <c r="C46" s="71">
        <v>1</v>
      </c>
      <c r="D46" s="68" t="s">
        <v>20</v>
      </c>
      <c r="E46" s="159"/>
      <c r="F46" s="100">
        <f t="shared" si="4"/>
        <v>0</v>
      </c>
      <c r="G46" s="94"/>
      <c r="H46" s="108"/>
      <c r="I46" s="108"/>
    </row>
    <row r="47" spans="1:12" ht="29.25" customHeight="1">
      <c r="A47" s="91">
        <f t="shared" si="5"/>
        <v>2.0399999999999991</v>
      </c>
      <c r="B47" s="98" t="s">
        <v>47</v>
      </c>
      <c r="C47" s="71">
        <v>16</v>
      </c>
      <c r="D47" s="68" t="s">
        <v>20</v>
      </c>
      <c r="E47" s="159"/>
      <c r="F47" s="100">
        <f t="shared" si="4"/>
        <v>0</v>
      </c>
      <c r="G47" s="94"/>
      <c r="H47" s="108"/>
      <c r="I47" s="108"/>
    </row>
    <row r="48" spans="1:12" ht="19.5" customHeight="1">
      <c r="A48" s="91">
        <f t="shared" si="5"/>
        <v>2.0499999999999989</v>
      </c>
      <c r="B48" s="98" t="s">
        <v>48</v>
      </c>
      <c r="C48" s="71">
        <v>1</v>
      </c>
      <c r="D48" s="68" t="s">
        <v>17</v>
      </c>
      <c r="E48" s="159"/>
      <c r="F48" s="100">
        <f t="shared" si="4"/>
        <v>0</v>
      </c>
      <c r="G48" s="94"/>
      <c r="H48" s="108"/>
      <c r="I48" s="108"/>
    </row>
    <row r="49" spans="1:70" ht="47.25" customHeight="1">
      <c r="A49" s="91">
        <f t="shared" si="5"/>
        <v>2.0599999999999987</v>
      </c>
      <c r="B49" s="98" t="s">
        <v>49</v>
      </c>
      <c r="C49" s="71">
        <v>4</v>
      </c>
      <c r="D49" s="68" t="s">
        <v>20</v>
      </c>
      <c r="E49" s="159"/>
      <c r="F49" s="100">
        <f t="shared" si="4"/>
        <v>0</v>
      </c>
      <c r="G49" s="94"/>
      <c r="H49" s="108"/>
      <c r="I49" s="108"/>
    </row>
    <row r="50" spans="1:70" ht="33.75" customHeight="1">
      <c r="A50" s="91">
        <f t="shared" si="5"/>
        <v>2.0699999999999985</v>
      </c>
      <c r="B50" s="98" t="s">
        <v>50</v>
      </c>
      <c r="C50" s="71">
        <v>20</v>
      </c>
      <c r="D50" s="120" t="s">
        <v>22</v>
      </c>
      <c r="E50" s="159"/>
      <c r="F50" s="100">
        <f t="shared" si="4"/>
        <v>0</v>
      </c>
      <c r="G50" s="94"/>
      <c r="H50" s="108"/>
      <c r="I50" s="108"/>
    </row>
    <row r="51" spans="1:70" ht="31.5" customHeight="1">
      <c r="A51" s="91">
        <f t="shared" si="5"/>
        <v>2.0799999999999983</v>
      </c>
      <c r="B51" s="98" t="s">
        <v>51</v>
      </c>
      <c r="C51" s="71">
        <v>40</v>
      </c>
      <c r="D51" s="68" t="s">
        <v>12</v>
      </c>
      <c r="E51" s="159"/>
      <c r="F51" s="100">
        <f t="shared" si="4"/>
        <v>0</v>
      </c>
      <c r="G51" s="94"/>
      <c r="H51" s="108"/>
      <c r="I51" s="108"/>
    </row>
    <row r="52" spans="1:70" ht="19.5" customHeight="1">
      <c r="A52" s="91">
        <f t="shared" si="5"/>
        <v>2.0899999999999981</v>
      </c>
      <c r="B52" s="98" t="s">
        <v>52</v>
      </c>
      <c r="C52" s="71">
        <v>1</v>
      </c>
      <c r="D52" s="68" t="s">
        <v>17</v>
      </c>
      <c r="E52" s="159"/>
      <c r="F52" s="100">
        <f t="shared" si="4"/>
        <v>0</v>
      </c>
      <c r="G52" s="94"/>
      <c r="H52" s="108"/>
      <c r="I52" s="108"/>
    </row>
    <row r="53" spans="1:70" ht="23.25" customHeight="1">
      <c r="A53" s="24"/>
      <c r="B53" s="25" t="s">
        <v>26</v>
      </c>
      <c r="C53" s="26"/>
      <c r="D53" s="27"/>
      <c r="E53" s="156"/>
      <c r="F53" s="28"/>
      <c r="G53" s="29">
        <f>SUM(F44:F52)</f>
        <v>0</v>
      </c>
      <c r="H53" s="108"/>
      <c r="I53" s="108"/>
    </row>
    <row r="54" spans="1:70" ht="23.25" customHeight="1">
      <c r="A54" s="41"/>
      <c r="B54" s="42"/>
      <c r="C54" s="43"/>
      <c r="D54" s="44"/>
      <c r="E54" s="78"/>
      <c r="F54" s="45"/>
      <c r="G54" s="46"/>
      <c r="H54" s="108"/>
      <c r="I54" s="108"/>
    </row>
    <row r="55" spans="1:70" ht="21" customHeight="1">
      <c r="A55" s="30"/>
      <c r="B55" s="31" t="s">
        <v>53</v>
      </c>
      <c r="C55" s="31"/>
      <c r="D55" s="31"/>
      <c r="E55" s="79"/>
      <c r="F55" s="31"/>
      <c r="G55" s="32">
        <f>SUM(G10:G53)</f>
        <v>0</v>
      </c>
      <c r="H55" s="109"/>
      <c r="I55" s="10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61"/>
      <c r="BR55" s="161"/>
    </row>
    <row r="56" spans="1:70" ht="21" customHeight="1">
      <c r="A56" s="10"/>
      <c r="B56" s="11"/>
      <c r="C56" s="145"/>
      <c r="D56" s="145"/>
      <c r="E56" s="145"/>
      <c r="F56" s="12"/>
      <c r="G56" s="13"/>
      <c r="H56" s="110"/>
      <c r="I56" s="10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61"/>
      <c r="BR56" s="161"/>
    </row>
    <row r="57" spans="1:70" ht="15" customHeight="1">
      <c r="A57" s="121"/>
      <c r="B57" s="122" t="s">
        <v>54</v>
      </c>
      <c r="C57" s="123"/>
      <c r="D57" s="124"/>
      <c r="E57" s="125"/>
      <c r="F57" s="126"/>
      <c r="G57" s="124"/>
      <c r="H57" s="111"/>
      <c r="I57" s="112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62"/>
      <c r="BR57" s="162"/>
    </row>
    <row r="58" spans="1:70" customFormat="1" ht="13.5" customHeight="1">
      <c r="A58" s="34" t="s">
        <v>55</v>
      </c>
      <c r="B58" s="34" t="s">
        <v>5</v>
      </c>
      <c r="C58" s="34"/>
      <c r="D58" s="35" t="s">
        <v>56</v>
      </c>
      <c r="E58" s="35"/>
      <c r="F58" s="35"/>
      <c r="G58" s="35" t="s">
        <v>57</v>
      </c>
      <c r="H58" s="111"/>
      <c r="I58" s="113"/>
      <c r="J58" s="33"/>
    </row>
    <row r="59" spans="1:70" customFormat="1" ht="13.5" customHeight="1">
      <c r="A59" s="127"/>
      <c r="B59" s="128"/>
      <c r="C59" s="123"/>
      <c r="D59" s="124"/>
      <c r="E59" s="129"/>
      <c r="F59" s="130"/>
      <c r="G59" s="131"/>
      <c r="H59" s="111"/>
      <c r="I59" s="108"/>
      <c r="J59" s="6"/>
    </row>
    <row r="60" spans="1:70" customFormat="1" ht="13.5" customHeight="1">
      <c r="A60" s="132">
        <v>1</v>
      </c>
      <c r="B60" s="128" t="s">
        <v>58</v>
      </c>
      <c r="C60" s="123"/>
      <c r="D60" s="133">
        <v>0.1</v>
      </c>
      <c r="E60" s="129"/>
      <c r="F60" s="130"/>
      <c r="G60" s="134">
        <f>ROUND(D60*G$55,2)</f>
        <v>0</v>
      </c>
      <c r="H60" s="111"/>
      <c r="I60" s="108"/>
      <c r="J60" s="6"/>
    </row>
    <row r="61" spans="1:70" customFormat="1" ht="13.5" customHeight="1">
      <c r="A61" s="132">
        <v>2</v>
      </c>
      <c r="B61" s="128" t="s">
        <v>59</v>
      </c>
      <c r="C61" s="123"/>
      <c r="D61" s="133">
        <v>0.03</v>
      </c>
      <c r="E61" s="129"/>
      <c r="F61" s="130"/>
      <c r="G61" s="134">
        <f>ROUND(D61*G$55,2)</f>
        <v>0</v>
      </c>
      <c r="H61" s="114"/>
      <c r="I61" s="108"/>
      <c r="J61" s="6"/>
    </row>
    <row r="62" spans="1:70" customFormat="1" ht="13.5" customHeight="1">
      <c r="A62" s="132">
        <v>3</v>
      </c>
      <c r="B62" s="128" t="s">
        <v>60</v>
      </c>
      <c r="C62" s="123"/>
      <c r="D62" s="133">
        <v>2.5000000000000001E-2</v>
      </c>
      <c r="E62" s="129"/>
      <c r="F62" s="130"/>
      <c r="G62" s="134">
        <f>ROUND(D62*G$55,2)</f>
        <v>0</v>
      </c>
      <c r="H62" s="111"/>
      <c r="I62" s="108"/>
      <c r="J62" s="6"/>
    </row>
    <row r="63" spans="1:70" customFormat="1" ht="13.5" customHeight="1">
      <c r="A63" s="34"/>
      <c r="B63" s="34" t="s">
        <v>26</v>
      </c>
      <c r="C63" s="34"/>
      <c r="D63" s="34"/>
      <c r="E63" s="80"/>
      <c r="F63" s="34"/>
      <c r="G63" s="36">
        <f>SUM(G60:G62)</f>
        <v>0</v>
      </c>
      <c r="H63" s="111"/>
      <c r="I63" s="108"/>
      <c r="J63" s="6"/>
    </row>
    <row r="64" spans="1:70" customFormat="1" ht="13.5" customHeight="1">
      <c r="A64" s="132"/>
      <c r="B64" s="128"/>
      <c r="C64" s="123"/>
      <c r="D64" s="133"/>
      <c r="E64" s="129"/>
      <c r="F64" s="130"/>
      <c r="G64" s="134"/>
      <c r="H64" s="111"/>
      <c r="I64" s="108"/>
      <c r="J64" s="6"/>
      <c r="K64" s="37"/>
    </row>
    <row r="65" spans="1:11" customFormat="1" ht="13.5" customHeight="1">
      <c r="A65" s="34"/>
      <c r="B65" s="34" t="s">
        <v>61</v>
      </c>
      <c r="C65" s="34"/>
      <c r="D65" s="34"/>
      <c r="E65" s="80"/>
      <c r="F65" s="34"/>
      <c r="G65" s="36">
        <f>G63+G55</f>
        <v>0</v>
      </c>
      <c r="H65" s="111"/>
      <c r="I65" s="108"/>
      <c r="J65" s="6"/>
    </row>
    <row r="66" spans="1:11" customFormat="1" ht="13.5" customHeight="1">
      <c r="A66" s="132"/>
      <c r="B66" s="128"/>
      <c r="C66" s="123"/>
      <c r="D66" s="133"/>
      <c r="E66" s="129"/>
      <c r="F66" s="130"/>
      <c r="G66" s="134"/>
      <c r="H66" s="111"/>
      <c r="I66" s="108"/>
      <c r="J66" s="6"/>
      <c r="K66" s="37"/>
    </row>
    <row r="67" spans="1:11" customFormat="1" ht="13.5" customHeight="1">
      <c r="A67" s="34"/>
      <c r="B67" s="34" t="s">
        <v>62</v>
      </c>
      <c r="C67" s="34"/>
      <c r="D67" s="38">
        <v>0.1</v>
      </c>
      <c r="E67" s="80"/>
      <c r="F67" s="34"/>
      <c r="G67" s="36">
        <f>ROUND(D67*G65,2)</f>
        <v>0</v>
      </c>
      <c r="H67" s="111"/>
      <c r="I67" s="108"/>
      <c r="J67" s="6"/>
    </row>
    <row r="68" spans="1:11" customFormat="1" ht="13.5" customHeight="1">
      <c r="A68" s="132"/>
      <c r="B68" s="128"/>
      <c r="C68" s="123"/>
      <c r="D68" s="133"/>
      <c r="E68" s="129"/>
      <c r="F68" s="130"/>
      <c r="G68" s="134"/>
      <c r="H68" s="111"/>
      <c r="I68" s="115"/>
      <c r="J68" s="6"/>
      <c r="K68" s="37"/>
    </row>
    <row r="69" spans="1:11" customFormat="1" ht="13.5" customHeight="1">
      <c r="A69" s="132">
        <v>4</v>
      </c>
      <c r="B69" s="128" t="s">
        <v>63</v>
      </c>
      <c r="C69" s="123"/>
      <c r="D69" s="133">
        <v>0.18</v>
      </c>
      <c r="E69" s="129"/>
      <c r="F69" s="130"/>
      <c r="G69" s="134">
        <f>ROUND(D69*G$67,2)</f>
        <v>0</v>
      </c>
      <c r="H69" s="111"/>
      <c r="I69" s="108"/>
      <c r="J69" s="6"/>
    </row>
    <row r="70" spans="1:11" customFormat="1" ht="13.5" customHeight="1">
      <c r="A70" s="132">
        <v>5</v>
      </c>
      <c r="B70" s="128" t="s">
        <v>64</v>
      </c>
      <c r="C70" s="123"/>
      <c r="D70" s="133">
        <v>4.4999999999999998E-2</v>
      </c>
      <c r="E70" s="129"/>
      <c r="F70" s="130"/>
      <c r="G70" s="134">
        <f>ROUND(D70*G$55,2)</f>
        <v>0</v>
      </c>
      <c r="H70" s="111"/>
      <c r="I70" s="108"/>
      <c r="J70" s="6"/>
    </row>
    <row r="71" spans="1:11" customFormat="1" ht="13.5" customHeight="1">
      <c r="A71" s="132">
        <v>6</v>
      </c>
      <c r="B71" s="128" t="s">
        <v>65</v>
      </c>
      <c r="C71" s="123"/>
      <c r="D71" s="133">
        <v>0.01</v>
      </c>
      <c r="E71" s="129"/>
      <c r="F71" s="130"/>
      <c r="G71" s="134">
        <f>ROUND(D71*G$55,2)</f>
        <v>0</v>
      </c>
      <c r="H71" s="111"/>
      <c r="I71" s="108"/>
      <c r="J71" s="6"/>
    </row>
    <row r="72" spans="1:11" customFormat="1" ht="13.5" customHeight="1">
      <c r="A72" s="132">
        <v>7</v>
      </c>
      <c r="B72" s="128" t="s">
        <v>66</v>
      </c>
      <c r="C72" s="123"/>
      <c r="D72" s="133">
        <v>1E-3</v>
      </c>
      <c r="E72" s="129"/>
      <c r="F72" s="130"/>
      <c r="G72" s="134">
        <f>ROUND(D72*G$55,2)</f>
        <v>0</v>
      </c>
      <c r="H72" s="111"/>
      <c r="I72" s="115"/>
      <c r="J72" s="6"/>
    </row>
    <row r="73" spans="1:11" customFormat="1" ht="13.5" customHeight="1">
      <c r="A73" s="132">
        <v>8</v>
      </c>
      <c r="B73" s="128" t="s">
        <v>67</v>
      </c>
      <c r="C73" s="123"/>
      <c r="D73" s="133">
        <v>0.01</v>
      </c>
      <c r="E73" s="129"/>
      <c r="F73" s="130"/>
      <c r="G73" s="134">
        <f>ROUND(D73*G$55,2)</f>
        <v>0</v>
      </c>
      <c r="H73" s="111"/>
      <c r="I73" s="108"/>
      <c r="J73" s="6"/>
    </row>
    <row r="74" spans="1:11" customFormat="1" ht="13.5" customHeight="1">
      <c r="A74" s="132">
        <v>9</v>
      </c>
      <c r="B74" s="128" t="s">
        <v>68</v>
      </c>
      <c r="C74" s="123"/>
      <c r="D74" s="133">
        <v>0.02</v>
      </c>
      <c r="E74" s="129"/>
      <c r="F74" s="130"/>
      <c r="G74" s="134">
        <f>ROUND(D74*G$55,2)</f>
        <v>0</v>
      </c>
      <c r="H74" s="111"/>
      <c r="I74" s="108"/>
      <c r="J74" s="6"/>
    </row>
    <row r="75" spans="1:11" customFormat="1" ht="13.5" customHeight="1">
      <c r="A75" s="135"/>
      <c r="B75" s="136" t="s">
        <v>26</v>
      </c>
      <c r="C75" s="137"/>
      <c r="D75" s="138"/>
      <c r="E75" s="139"/>
      <c r="F75" s="138"/>
      <c r="G75" s="48">
        <f>SUM(G69:G74)</f>
        <v>0</v>
      </c>
      <c r="H75" s="111"/>
      <c r="I75" s="108"/>
      <c r="J75" s="6"/>
    </row>
    <row r="76" spans="1:11" customFormat="1" ht="13.5" customHeight="1">
      <c r="A76" s="132"/>
      <c r="B76" s="128"/>
      <c r="C76" s="123"/>
      <c r="D76" s="133"/>
      <c r="E76" s="129"/>
      <c r="F76" s="130"/>
      <c r="G76" s="134"/>
      <c r="H76" s="111"/>
      <c r="I76" s="108"/>
      <c r="J76" s="6"/>
      <c r="K76" s="37"/>
    </row>
    <row r="77" spans="1:11" customFormat="1" ht="13.5" customHeight="1">
      <c r="A77" s="34"/>
      <c r="B77" s="34" t="s">
        <v>69</v>
      </c>
      <c r="C77" s="34"/>
      <c r="D77" s="34"/>
      <c r="E77" s="35"/>
      <c r="F77" s="34"/>
      <c r="G77" s="36">
        <f>G75+G63</f>
        <v>0</v>
      </c>
      <c r="H77" s="111"/>
      <c r="I77" s="108"/>
      <c r="J77" s="6"/>
    </row>
    <row r="78" spans="1:11" customFormat="1" ht="13.5" customHeight="1">
      <c r="A78" s="127"/>
      <c r="B78" s="128"/>
      <c r="C78" s="123"/>
      <c r="D78" s="140"/>
      <c r="E78" s="129"/>
      <c r="F78" s="130"/>
      <c r="G78" s="131"/>
      <c r="H78" s="111"/>
      <c r="I78" s="108"/>
      <c r="J78" s="6"/>
    </row>
    <row r="79" spans="1:11" customFormat="1" ht="13.5" customHeight="1">
      <c r="A79" s="127"/>
      <c r="B79" s="128" t="s">
        <v>70</v>
      </c>
      <c r="C79" s="123"/>
      <c r="D79" s="133">
        <v>0.05</v>
      </c>
      <c r="E79" s="129"/>
      <c r="F79" s="141"/>
      <c r="G79" s="134">
        <f>ROUND(D79*G$55,2)</f>
        <v>0</v>
      </c>
      <c r="H79" s="111"/>
      <c r="I79" s="108"/>
      <c r="J79" s="6"/>
      <c r="K79" s="37"/>
    </row>
    <row r="80" spans="1:11" customFormat="1" ht="13.5" customHeight="1">
      <c r="A80" s="127"/>
      <c r="B80" s="128"/>
      <c r="C80" s="123"/>
      <c r="D80" s="124"/>
      <c r="E80" s="129"/>
      <c r="F80" s="130"/>
      <c r="G80" s="131"/>
      <c r="H80" s="39"/>
      <c r="I80" s="6"/>
      <c r="J80" s="6"/>
    </row>
    <row r="81" spans="1:10" customFormat="1" ht="13.5" customHeight="1">
      <c r="A81" s="34"/>
      <c r="B81" s="34" t="s">
        <v>71</v>
      </c>
      <c r="C81" s="34"/>
      <c r="D81" s="34"/>
      <c r="E81" s="35"/>
      <c r="F81" s="34"/>
      <c r="G81" s="36">
        <f>G79+G77+G55</f>
        <v>0</v>
      </c>
      <c r="H81" s="39"/>
      <c r="I81" s="6"/>
      <c r="J81" s="6"/>
    </row>
    <row r="82" spans="1:10" ht="14.25" customHeight="1"/>
    <row r="83" spans="1:10" ht="24.75" customHeight="1"/>
  </sheetData>
  <sheetProtection password="CE28" sheet="1" objects="1" scenarios="1" selectLockedCells="1"/>
  <mergeCells count="9">
    <mergeCell ref="F6:G6"/>
    <mergeCell ref="A3:A4"/>
    <mergeCell ref="B3:G4"/>
    <mergeCell ref="D6:E6"/>
    <mergeCell ref="BQ56:BR56"/>
    <mergeCell ref="BQ57:BR57"/>
    <mergeCell ref="BQ55:BR55"/>
    <mergeCell ref="F7:G7"/>
    <mergeCell ref="D7:E7"/>
  </mergeCells>
  <phoneticPr fontId="19" type="noConversion"/>
  <pageMargins left="0.70866141732283472" right="0.70866141732283472" top="0.74803149606299213" bottom="0.74803149606299213" header="0.31496062992125984" footer="0.31496062992125984"/>
  <pageSetup scale="51" orientation="portrait" r:id="rId1"/>
  <headerFooter>
    <oddFooter>&amp;R&amp;P de &amp;N</oddFooter>
  </headerFooter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2"/>
  <sheetViews>
    <sheetView topLeftCell="A179" workbookViewId="0">
      <selection activeCell="J194" sqref="J194"/>
    </sheetView>
  </sheetViews>
  <sheetFormatPr defaultColWidth="11.42578125" defaultRowHeight="15" outlineLevelRow="1"/>
  <cols>
    <col min="1" max="1" width="11.42578125" customWidth="1"/>
    <col min="2" max="2" width="38.5703125" customWidth="1"/>
    <col min="3" max="3" width="6.5703125" customWidth="1"/>
    <col min="4" max="4" width="5.28515625" customWidth="1"/>
  </cols>
  <sheetData>
    <row r="1" spans="1:9">
      <c r="A1" s="63"/>
      <c r="B1" s="49" t="s">
        <v>72</v>
      </c>
      <c r="C1" s="50">
        <v>1</v>
      </c>
      <c r="D1" s="50" t="s">
        <v>73</v>
      </c>
      <c r="E1" s="51"/>
      <c r="F1" s="51"/>
      <c r="G1" s="51">
        <f>+G8/C1</f>
        <v>151.57000000000002</v>
      </c>
      <c r="H1" s="51">
        <f>+H8/C1</f>
        <v>0</v>
      </c>
      <c r="I1" s="52">
        <f>+H1+G1</f>
        <v>151.57000000000002</v>
      </c>
    </row>
    <row r="2" spans="1:9">
      <c r="A2" s="64"/>
      <c r="B2" s="53"/>
      <c r="C2" s="54"/>
      <c r="D2" s="54"/>
      <c r="E2" s="55"/>
      <c r="F2" s="55"/>
      <c r="G2" s="55"/>
      <c r="H2" s="55"/>
      <c r="I2" s="56"/>
    </row>
    <row r="3" spans="1:9">
      <c r="A3" s="65"/>
      <c r="B3" s="53" t="s">
        <v>74</v>
      </c>
      <c r="C3" s="57"/>
      <c r="D3" s="60"/>
      <c r="E3" s="61"/>
      <c r="F3" s="61"/>
      <c r="G3" s="61"/>
      <c r="H3" s="61"/>
      <c r="I3" s="62"/>
    </row>
    <row r="4" spans="1:9">
      <c r="A4" s="65"/>
      <c r="B4" s="58" t="s">
        <v>75</v>
      </c>
      <c r="C4" s="57">
        <v>0.1</v>
      </c>
      <c r="D4" s="60" t="s">
        <v>76</v>
      </c>
      <c r="E4" s="61">
        <v>1318</v>
      </c>
      <c r="F4" s="61">
        <v>0</v>
      </c>
      <c r="G4" s="61">
        <f>ROUND((C4*(E4)),2)</f>
        <v>131.80000000000001</v>
      </c>
      <c r="H4" s="61">
        <f>ROUND((C4*(F4)),2)</f>
        <v>0</v>
      </c>
      <c r="I4" s="62"/>
    </row>
    <row r="5" spans="1:9">
      <c r="A5" s="65"/>
      <c r="B5" s="58"/>
      <c r="C5" s="57"/>
      <c r="D5" s="60"/>
      <c r="E5" s="61"/>
      <c r="F5" s="61"/>
      <c r="G5" s="61"/>
      <c r="H5" s="61"/>
      <c r="I5" s="62"/>
    </row>
    <row r="6" spans="1:9">
      <c r="A6" s="65"/>
      <c r="B6" s="58" t="s">
        <v>77</v>
      </c>
      <c r="C6" s="57"/>
      <c r="D6" s="60"/>
      <c r="E6" s="61"/>
      <c r="F6" s="61"/>
      <c r="G6" s="61"/>
      <c r="H6" s="61"/>
      <c r="I6" s="62"/>
    </row>
    <row r="7" spans="1:9">
      <c r="A7" s="65"/>
      <c r="B7" s="58" t="s">
        <v>78</v>
      </c>
      <c r="C7" s="57">
        <v>15</v>
      </c>
      <c r="D7" s="60" t="s">
        <v>79</v>
      </c>
      <c r="E7" s="61">
        <f>G4</f>
        <v>131.80000000000001</v>
      </c>
      <c r="F7" s="61">
        <v>0</v>
      </c>
      <c r="G7" s="61">
        <f>E7*C7%</f>
        <v>19.77</v>
      </c>
      <c r="H7" s="61">
        <v>0</v>
      </c>
      <c r="I7" s="62"/>
    </row>
    <row r="8" spans="1:9">
      <c r="A8" s="65"/>
      <c r="B8" s="58" t="s">
        <v>80</v>
      </c>
      <c r="C8" s="57"/>
      <c r="D8" s="57"/>
      <c r="E8" s="61"/>
      <c r="F8" s="61"/>
      <c r="G8" s="61">
        <f>SUM(G3:G7)</f>
        <v>151.57000000000002</v>
      </c>
      <c r="H8" s="61">
        <f>SUM(H3:H3)</f>
        <v>0</v>
      </c>
      <c r="I8" s="61">
        <f>SUM(G8:H8)</f>
        <v>151.57000000000002</v>
      </c>
    </row>
    <row r="10" spans="1:9" s="62" customFormat="1" ht="14.25" customHeight="1">
      <c r="A10" s="63"/>
      <c r="B10" s="49" t="s">
        <v>81</v>
      </c>
      <c r="C10" s="50">
        <v>1</v>
      </c>
      <c r="D10" s="50" t="s">
        <v>82</v>
      </c>
      <c r="E10" s="51"/>
      <c r="F10" s="51"/>
      <c r="G10" s="51">
        <f>+G23/C12</f>
        <v>1684.3000000000002</v>
      </c>
      <c r="H10" s="51">
        <f>+H23/C12</f>
        <v>234.19</v>
      </c>
      <c r="I10" s="52">
        <f>+H10+G10</f>
        <v>1918.4900000000002</v>
      </c>
    </row>
    <row r="11" spans="1:9" s="62" customFormat="1" ht="14.25" customHeight="1" outlineLevel="1">
      <c r="A11" s="64"/>
      <c r="B11" s="53"/>
      <c r="C11" s="54"/>
      <c r="D11" s="54"/>
      <c r="E11" s="55"/>
      <c r="F11" s="55"/>
      <c r="G11" s="55"/>
      <c r="H11" s="55"/>
      <c r="I11" s="56"/>
    </row>
    <row r="12" spans="1:9" s="62" customFormat="1" ht="14.25" customHeight="1" outlineLevel="1">
      <c r="A12" s="64"/>
      <c r="B12" s="53" t="s">
        <v>83</v>
      </c>
      <c r="C12" s="57">
        <v>1</v>
      </c>
      <c r="D12" s="57" t="s">
        <v>82</v>
      </c>
      <c r="E12" s="55"/>
      <c r="F12" s="55"/>
      <c r="G12" s="55"/>
      <c r="H12" s="55"/>
      <c r="I12" s="56"/>
    </row>
    <row r="13" spans="1:9" s="62" customFormat="1" ht="14.25" customHeight="1" outlineLevel="1">
      <c r="A13" s="64"/>
      <c r="B13" s="53" t="s">
        <v>84</v>
      </c>
      <c r="C13" s="57"/>
      <c r="D13" s="57"/>
      <c r="E13" s="55"/>
      <c r="F13" s="55"/>
      <c r="G13" s="55"/>
      <c r="H13" s="55"/>
      <c r="I13" s="56"/>
    </row>
    <row r="14" spans="1:9" s="62" customFormat="1" ht="14.25" customHeight="1" outlineLevel="1">
      <c r="A14" s="64"/>
      <c r="B14" s="58" t="s">
        <v>85</v>
      </c>
      <c r="C14" s="59">
        <f>ROUND((0.032*1.1*0.52),3)</f>
        <v>1.7999999999999999E-2</v>
      </c>
      <c r="D14" s="60" t="s">
        <v>86</v>
      </c>
      <c r="E14" s="61">
        <v>4197.71</v>
      </c>
      <c r="F14" s="61">
        <v>696.49</v>
      </c>
      <c r="G14" s="61">
        <f t="shared" ref="G14:G19" si="0">ROUND((C14*(E14)),2)</f>
        <v>75.56</v>
      </c>
      <c r="H14" s="61">
        <f t="shared" ref="H14:H19" si="1">ROUND((C14*(F14)),2)</f>
        <v>12.54</v>
      </c>
      <c r="I14" s="56"/>
    </row>
    <row r="15" spans="1:9" s="62" customFormat="1" ht="14.25" customHeight="1" outlineLevel="1">
      <c r="A15" s="65"/>
      <c r="B15" s="58" t="s">
        <v>87</v>
      </c>
      <c r="C15" s="57">
        <v>1.1000000000000001</v>
      </c>
      <c r="D15" s="60" t="s">
        <v>82</v>
      </c>
      <c r="E15" s="61">
        <v>632</v>
      </c>
      <c r="F15" s="61">
        <v>113.76</v>
      </c>
      <c r="G15" s="61">
        <f t="shared" si="0"/>
        <v>695.2</v>
      </c>
      <c r="H15" s="61">
        <f t="shared" si="1"/>
        <v>125.14</v>
      </c>
    </row>
    <row r="16" spans="1:9" s="62" customFormat="1" ht="14.25" customHeight="1" outlineLevel="1">
      <c r="A16" s="65"/>
      <c r="B16" s="58" t="s">
        <v>88</v>
      </c>
      <c r="C16" s="57">
        <v>1.1000000000000001</v>
      </c>
      <c r="D16" s="60" t="s">
        <v>82</v>
      </c>
      <c r="E16" s="61">
        <v>323</v>
      </c>
      <c r="F16" s="61">
        <v>58.14</v>
      </c>
      <c r="G16" s="61">
        <f t="shared" si="0"/>
        <v>355.3</v>
      </c>
      <c r="H16" s="61">
        <f t="shared" si="1"/>
        <v>63.95</v>
      </c>
    </row>
    <row r="17" spans="1:9" s="62" customFormat="1" ht="14.25" customHeight="1" outlineLevel="1">
      <c r="A17" s="65"/>
      <c r="B17" s="58" t="s">
        <v>89</v>
      </c>
      <c r="C17" s="59">
        <f>ROUND((0.045*0.52),3)</f>
        <v>2.3E-2</v>
      </c>
      <c r="D17" s="60" t="s">
        <v>90</v>
      </c>
      <c r="E17" s="61">
        <v>1016.95</v>
      </c>
      <c r="F17" s="61">
        <v>183.05</v>
      </c>
      <c r="G17" s="61">
        <f t="shared" si="0"/>
        <v>23.39</v>
      </c>
      <c r="H17" s="61">
        <f t="shared" si="1"/>
        <v>4.21</v>
      </c>
    </row>
    <row r="18" spans="1:9" s="62" customFormat="1" ht="14.25" customHeight="1" outlineLevel="1">
      <c r="A18" s="65"/>
      <c r="B18" s="58" t="s">
        <v>91</v>
      </c>
      <c r="C18" s="59">
        <f>ROUND((0.05*0.52),3)</f>
        <v>2.5999999999999999E-2</v>
      </c>
      <c r="D18" s="60" t="s">
        <v>92</v>
      </c>
      <c r="E18" s="61">
        <v>127.12</v>
      </c>
      <c r="F18" s="61">
        <v>22.88</v>
      </c>
      <c r="G18" s="61">
        <f t="shared" si="0"/>
        <v>3.31</v>
      </c>
      <c r="H18" s="61">
        <f t="shared" si="1"/>
        <v>0.59</v>
      </c>
    </row>
    <row r="19" spans="1:9" s="62" customFormat="1" ht="14.25" customHeight="1" outlineLevel="1">
      <c r="A19" s="65"/>
      <c r="B19" s="58" t="s">
        <v>93</v>
      </c>
      <c r="C19" s="57">
        <v>0.52</v>
      </c>
      <c r="D19" s="60" t="s">
        <v>94</v>
      </c>
      <c r="E19" s="61">
        <v>296.61</v>
      </c>
      <c r="F19" s="61">
        <v>53.39</v>
      </c>
      <c r="G19" s="61">
        <f t="shared" si="0"/>
        <v>154.24</v>
      </c>
      <c r="H19" s="61">
        <f t="shared" si="1"/>
        <v>27.76</v>
      </c>
    </row>
    <row r="20" spans="1:9" s="62" customFormat="1" ht="14.25" customHeight="1" outlineLevel="1">
      <c r="A20" s="65"/>
      <c r="B20" s="58" t="s">
        <v>95</v>
      </c>
      <c r="C20" s="57">
        <v>1</v>
      </c>
      <c r="D20" s="60" t="s">
        <v>96</v>
      </c>
      <c r="E20" s="61">
        <v>37.19</v>
      </c>
      <c r="F20" s="61">
        <v>0</v>
      </c>
      <c r="G20" s="61">
        <f>+E20</f>
        <v>37.19</v>
      </c>
      <c r="H20" s="61">
        <v>0</v>
      </c>
    </row>
    <row r="21" spans="1:9" s="62" customFormat="1" ht="14.25" customHeight="1" outlineLevel="1">
      <c r="A21" s="64"/>
      <c r="B21" s="53" t="s">
        <v>97</v>
      </c>
      <c r="C21" s="57"/>
      <c r="D21" s="57"/>
      <c r="E21" s="55"/>
      <c r="F21" s="55"/>
      <c r="G21" s="55"/>
      <c r="H21" s="55"/>
      <c r="I21" s="56"/>
    </row>
    <row r="22" spans="1:9" s="62" customFormat="1" ht="14.25" customHeight="1" outlineLevel="1">
      <c r="A22" s="65"/>
      <c r="B22" s="58" t="s">
        <v>98</v>
      </c>
      <c r="C22" s="57">
        <v>1</v>
      </c>
      <c r="D22" s="60" t="s">
        <v>82</v>
      </c>
      <c r="E22" s="61">
        <v>340.11</v>
      </c>
      <c r="F22" s="61">
        <v>0</v>
      </c>
      <c r="G22" s="61">
        <f>ROUND((C22*(E22)),2)</f>
        <v>340.11</v>
      </c>
      <c r="H22" s="61">
        <f>ROUND((C22*(F22)),2)</f>
        <v>0</v>
      </c>
    </row>
    <row r="23" spans="1:9" s="62" customFormat="1" ht="14.25" customHeight="1" outlineLevel="1">
      <c r="A23" s="65"/>
      <c r="B23" s="58" t="s">
        <v>80</v>
      </c>
      <c r="C23" s="57"/>
      <c r="D23" s="57"/>
      <c r="E23" s="61"/>
      <c r="F23" s="61"/>
      <c r="G23" s="61">
        <f>SUM(G14:G22)</f>
        <v>1684.3000000000002</v>
      </c>
      <c r="H23" s="61">
        <f>SUM(H14:H22)</f>
        <v>234.19</v>
      </c>
      <c r="I23" s="61">
        <f>SUM(G23:H23)</f>
        <v>1918.4900000000002</v>
      </c>
    </row>
    <row r="24" spans="1:9" s="62" customFormat="1" ht="14.25" customHeight="1" outlineLevel="1">
      <c r="A24" s="65"/>
      <c r="B24" s="58"/>
      <c r="C24" s="57"/>
      <c r="D24" s="57"/>
      <c r="E24" s="61"/>
      <c r="F24" s="61"/>
      <c r="G24" s="61"/>
      <c r="H24" s="61"/>
      <c r="I24" s="61"/>
    </row>
    <row r="25" spans="1:9" s="62" customFormat="1" ht="14.25" customHeight="1" outlineLevel="1">
      <c r="A25" s="63">
        <f>+A10+0.01</f>
        <v>0.01</v>
      </c>
      <c r="B25" s="49" t="s">
        <v>99</v>
      </c>
      <c r="C25" s="50">
        <v>1</v>
      </c>
      <c r="D25" s="50" t="s">
        <v>82</v>
      </c>
      <c r="E25" s="51"/>
      <c r="F25" s="51"/>
      <c r="G25" s="51">
        <f>+G38/C27</f>
        <v>1848.31</v>
      </c>
      <c r="H25" s="51">
        <f>+H38/C27</f>
        <v>262.7</v>
      </c>
      <c r="I25" s="52">
        <f>+H25+G25</f>
        <v>2111.0099999999998</v>
      </c>
    </row>
    <row r="26" spans="1:9" s="62" customFormat="1" ht="14.25" customHeight="1" outlineLevel="1">
      <c r="A26" s="64"/>
      <c r="B26" s="53"/>
      <c r="C26" s="54"/>
      <c r="D26" s="54"/>
      <c r="E26" s="55"/>
      <c r="F26" s="55"/>
      <c r="G26" s="55"/>
      <c r="H26" s="55"/>
      <c r="I26" s="56"/>
    </row>
    <row r="27" spans="1:9" s="62" customFormat="1" ht="14.25" customHeight="1" outlineLevel="1">
      <c r="A27" s="64"/>
      <c r="B27" s="53" t="s">
        <v>83</v>
      </c>
      <c r="C27" s="57">
        <v>1</v>
      </c>
      <c r="D27" s="57" t="s">
        <v>82</v>
      </c>
      <c r="E27" s="55"/>
      <c r="F27" s="55"/>
      <c r="G27" s="55"/>
      <c r="H27" s="55"/>
      <c r="I27" s="56"/>
    </row>
    <row r="28" spans="1:9" s="62" customFormat="1" ht="14.25" customHeight="1" outlineLevel="1">
      <c r="A28" s="64"/>
      <c r="B28" s="53" t="s">
        <v>84</v>
      </c>
      <c r="C28" s="57"/>
      <c r="D28" s="57"/>
      <c r="E28" s="55"/>
      <c r="F28" s="55"/>
      <c r="G28" s="55"/>
      <c r="H28" s="55"/>
      <c r="I28" s="56"/>
    </row>
    <row r="29" spans="1:9" s="62" customFormat="1" ht="14.25" customHeight="1" outlineLevel="1">
      <c r="A29" s="64"/>
      <c r="B29" s="58" t="s">
        <v>85</v>
      </c>
      <c r="C29" s="59">
        <f>ROUND((0.032*1.1*0.52),3)</f>
        <v>1.7999999999999999E-2</v>
      </c>
      <c r="D29" s="60" t="s">
        <v>86</v>
      </c>
      <c r="E29" s="61">
        <v>4197.71</v>
      </c>
      <c r="F29" s="61">
        <v>696.49</v>
      </c>
      <c r="G29" s="61">
        <f t="shared" ref="G29:G34" si="2">ROUND((C29*(E29)),2)</f>
        <v>75.56</v>
      </c>
      <c r="H29" s="61">
        <f t="shared" ref="H29:H34" si="3">ROUND((C29*(F29)),2)</f>
        <v>12.54</v>
      </c>
      <c r="I29" s="56"/>
    </row>
    <row r="30" spans="1:9" s="62" customFormat="1" ht="14.25" customHeight="1" outlineLevel="1">
      <c r="A30" s="65"/>
      <c r="B30" s="58" t="s">
        <v>87</v>
      </c>
      <c r="C30" s="57">
        <v>1.1000000000000001</v>
      </c>
      <c r="D30" s="60" t="s">
        <v>82</v>
      </c>
      <c r="E30" s="61">
        <v>749</v>
      </c>
      <c r="F30" s="61">
        <v>134.82</v>
      </c>
      <c r="G30" s="61">
        <f t="shared" si="2"/>
        <v>823.9</v>
      </c>
      <c r="H30" s="61">
        <f t="shared" si="3"/>
        <v>148.30000000000001</v>
      </c>
    </row>
    <row r="31" spans="1:9" s="62" customFormat="1" ht="14.25" customHeight="1" outlineLevel="1">
      <c r="A31" s="65"/>
      <c r="B31" s="58" t="s">
        <v>88</v>
      </c>
      <c r="C31" s="57">
        <v>1.1000000000000001</v>
      </c>
      <c r="D31" s="60" t="s">
        <v>82</v>
      </c>
      <c r="E31" s="61">
        <v>350</v>
      </c>
      <c r="F31" s="61">
        <v>63</v>
      </c>
      <c r="G31" s="61">
        <f t="shared" si="2"/>
        <v>385</v>
      </c>
      <c r="H31" s="61">
        <f t="shared" si="3"/>
        <v>69.3</v>
      </c>
    </row>
    <row r="32" spans="1:9" s="62" customFormat="1" ht="14.25" customHeight="1" outlineLevel="1">
      <c r="A32" s="65"/>
      <c r="B32" s="58" t="s">
        <v>89</v>
      </c>
      <c r="C32" s="59">
        <f>ROUND((0.045*0.52),3)</f>
        <v>2.3E-2</v>
      </c>
      <c r="D32" s="60" t="s">
        <v>90</v>
      </c>
      <c r="E32" s="61">
        <v>1016.95</v>
      </c>
      <c r="F32" s="61">
        <v>183.05</v>
      </c>
      <c r="G32" s="61">
        <f t="shared" si="2"/>
        <v>23.39</v>
      </c>
      <c r="H32" s="61">
        <f t="shared" si="3"/>
        <v>4.21</v>
      </c>
    </row>
    <row r="33" spans="1:9" s="62" customFormat="1" ht="14.25" customHeight="1" outlineLevel="1">
      <c r="A33" s="65"/>
      <c r="B33" s="58" t="s">
        <v>91</v>
      </c>
      <c r="C33" s="59">
        <f>ROUND((0.05*0.52),3)</f>
        <v>2.5999999999999999E-2</v>
      </c>
      <c r="D33" s="60" t="s">
        <v>92</v>
      </c>
      <c r="E33" s="61">
        <v>127.12</v>
      </c>
      <c r="F33" s="61">
        <v>22.88</v>
      </c>
      <c r="G33" s="61">
        <f t="shared" si="2"/>
        <v>3.31</v>
      </c>
      <c r="H33" s="61">
        <f t="shared" si="3"/>
        <v>0.59</v>
      </c>
    </row>
    <row r="34" spans="1:9" s="62" customFormat="1" ht="14.25" customHeight="1" outlineLevel="1">
      <c r="A34" s="65"/>
      <c r="B34" s="58" t="s">
        <v>93</v>
      </c>
      <c r="C34" s="57">
        <v>0.52</v>
      </c>
      <c r="D34" s="60" t="s">
        <v>94</v>
      </c>
      <c r="E34" s="61">
        <v>296.61</v>
      </c>
      <c r="F34" s="61">
        <v>53.39</v>
      </c>
      <c r="G34" s="61">
        <f t="shared" si="2"/>
        <v>154.24</v>
      </c>
      <c r="H34" s="61">
        <f t="shared" si="3"/>
        <v>27.76</v>
      </c>
    </row>
    <row r="35" spans="1:9" s="62" customFormat="1" ht="14.25" customHeight="1" outlineLevel="1">
      <c r="A35" s="65"/>
      <c r="B35" s="58" t="s">
        <v>95</v>
      </c>
      <c r="C35" s="57">
        <v>1</v>
      </c>
      <c r="D35" s="60" t="s">
        <v>96</v>
      </c>
      <c r="E35" s="61">
        <v>42.8</v>
      </c>
      <c r="F35" s="61">
        <v>0</v>
      </c>
      <c r="G35" s="61">
        <f>+E35</f>
        <v>42.8</v>
      </c>
      <c r="H35" s="61">
        <v>0</v>
      </c>
    </row>
    <row r="36" spans="1:9" s="62" customFormat="1" ht="14.25" customHeight="1" outlineLevel="1">
      <c r="A36" s="64"/>
      <c r="B36" s="53" t="s">
        <v>97</v>
      </c>
      <c r="C36" s="57"/>
      <c r="D36" s="57"/>
      <c r="E36" s="55"/>
      <c r="F36" s="55"/>
      <c r="G36" s="55"/>
      <c r="H36" s="55"/>
      <c r="I36" s="56"/>
    </row>
    <row r="37" spans="1:9" s="62" customFormat="1" ht="14.25" customHeight="1" outlineLevel="1">
      <c r="A37" s="65"/>
      <c r="B37" s="58" t="s">
        <v>98</v>
      </c>
      <c r="C37" s="57">
        <v>1</v>
      </c>
      <c r="D37" s="60" t="s">
        <v>82</v>
      </c>
      <c r="E37" s="61">
        <v>340.11</v>
      </c>
      <c r="F37" s="61">
        <v>0</v>
      </c>
      <c r="G37" s="61">
        <f>ROUND((C37*(E37)),2)</f>
        <v>340.11</v>
      </c>
      <c r="H37" s="61">
        <f>ROUND((C37*(F37)),2)</f>
        <v>0</v>
      </c>
    </row>
    <row r="38" spans="1:9" s="62" customFormat="1" ht="14.25" customHeight="1" outlineLevel="1">
      <c r="A38" s="65"/>
      <c r="B38" s="58" t="s">
        <v>80</v>
      </c>
      <c r="C38" s="57"/>
      <c r="D38" s="57"/>
      <c r="E38" s="61"/>
      <c r="F38" s="61"/>
      <c r="G38" s="61">
        <f>SUM(G29:G37)</f>
        <v>1848.31</v>
      </c>
      <c r="H38" s="61">
        <f>SUM(H29:H37)</f>
        <v>262.7</v>
      </c>
      <c r="I38" s="61">
        <f>SUM(G38:H38)</f>
        <v>2111.0099999999998</v>
      </c>
    </row>
    <row r="39" spans="1:9" s="62" customFormat="1" ht="14.25" customHeight="1" outlineLevel="1">
      <c r="A39" s="65"/>
      <c r="B39" s="58"/>
      <c r="C39" s="57"/>
      <c r="D39" s="57"/>
      <c r="E39" s="61"/>
      <c r="F39" s="61"/>
      <c r="G39" s="61"/>
      <c r="H39" s="61"/>
      <c r="I39" s="61"/>
    </row>
    <row r="40" spans="1:9" s="62" customFormat="1" ht="14.25" customHeight="1" outlineLevel="1">
      <c r="A40" s="63">
        <f>+A25+0.01</f>
        <v>0.02</v>
      </c>
      <c r="B40" s="49" t="s">
        <v>100</v>
      </c>
      <c r="C40" s="50">
        <v>1</v>
      </c>
      <c r="D40" s="50" t="s">
        <v>82</v>
      </c>
      <c r="E40" s="51"/>
      <c r="F40" s="51"/>
      <c r="G40" s="51">
        <f>+G53/C42</f>
        <v>1981.4099999999999</v>
      </c>
      <c r="H40" s="51">
        <f>+H53/C42</f>
        <v>286.65999999999997</v>
      </c>
      <c r="I40" s="52">
        <f>+H40+G40</f>
        <v>2268.0699999999997</v>
      </c>
    </row>
    <row r="41" spans="1:9" s="62" customFormat="1" ht="14.25" customHeight="1" outlineLevel="1">
      <c r="A41" s="64"/>
      <c r="B41" s="53"/>
      <c r="C41" s="54"/>
      <c r="D41" s="54"/>
      <c r="E41" s="55"/>
      <c r="F41" s="55"/>
      <c r="G41" s="55"/>
      <c r="H41" s="55"/>
      <c r="I41" s="56"/>
    </row>
    <row r="42" spans="1:9" s="62" customFormat="1" ht="14.25" customHeight="1" outlineLevel="1">
      <c r="A42" s="64"/>
      <c r="B42" s="53" t="s">
        <v>83</v>
      </c>
      <c r="C42" s="57">
        <v>1</v>
      </c>
      <c r="D42" s="57" t="s">
        <v>82</v>
      </c>
      <c r="E42" s="55"/>
      <c r="F42" s="55"/>
      <c r="G42" s="55"/>
      <c r="H42" s="55"/>
      <c r="I42" s="56"/>
    </row>
    <row r="43" spans="1:9" s="62" customFormat="1" ht="14.25" customHeight="1" outlineLevel="1">
      <c r="A43" s="64"/>
      <c r="B43" s="53" t="s">
        <v>84</v>
      </c>
      <c r="C43" s="57"/>
      <c r="D43" s="57"/>
      <c r="E43" s="55"/>
      <c r="F43" s="55"/>
      <c r="G43" s="55"/>
      <c r="H43" s="55"/>
      <c r="I43" s="56"/>
    </row>
    <row r="44" spans="1:9" s="62" customFormat="1" ht="14.25" customHeight="1" outlineLevel="1">
      <c r="A44" s="64"/>
      <c r="B44" s="58" t="s">
        <v>85</v>
      </c>
      <c r="C44" s="59">
        <f>ROUND((0.032*1.1*0.52),3)</f>
        <v>1.7999999999999999E-2</v>
      </c>
      <c r="D44" s="60" t="s">
        <v>86</v>
      </c>
      <c r="E44" s="61">
        <v>4197.71</v>
      </c>
      <c r="F44" s="61">
        <v>696.49</v>
      </c>
      <c r="G44" s="61">
        <f t="shared" ref="G44:G49" si="4">ROUND((C44*(E44)),2)</f>
        <v>75.56</v>
      </c>
      <c r="H44" s="61">
        <f t="shared" ref="H44:H49" si="5">ROUND((C44*(F44)),2)</f>
        <v>12.54</v>
      </c>
      <c r="I44" s="56"/>
    </row>
    <row r="45" spans="1:9" s="62" customFormat="1" ht="14.25" customHeight="1" outlineLevel="1">
      <c r="A45" s="65"/>
      <c r="B45" s="58" t="s">
        <v>87</v>
      </c>
      <c r="C45" s="57">
        <v>1.1000000000000001</v>
      </c>
      <c r="D45" s="60" t="s">
        <v>82</v>
      </c>
      <c r="E45" s="61">
        <v>850</v>
      </c>
      <c r="F45" s="61">
        <f>E45*0.18</f>
        <v>153</v>
      </c>
      <c r="G45" s="61">
        <f t="shared" si="4"/>
        <v>935</v>
      </c>
      <c r="H45" s="61">
        <f t="shared" si="5"/>
        <v>168.3</v>
      </c>
    </row>
    <row r="46" spans="1:9" s="62" customFormat="1" ht="14.25" customHeight="1" outlineLevel="1">
      <c r="A46" s="65"/>
      <c r="B46" s="58" t="s">
        <v>88</v>
      </c>
      <c r="C46" s="57">
        <v>1.1000000000000001</v>
      </c>
      <c r="D46" s="60" t="s">
        <v>82</v>
      </c>
      <c r="E46" s="61">
        <v>370</v>
      </c>
      <c r="F46" s="61">
        <f>E46*0.18</f>
        <v>66.599999999999994</v>
      </c>
      <c r="G46" s="61">
        <f t="shared" si="4"/>
        <v>407</v>
      </c>
      <c r="H46" s="61">
        <f t="shared" si="5"/>
        <v>73.260000000000005</v>
      </c>
    </row>
    <row r="47" spans="1:9" s="62" customFormat="1" ht="14.25" customHeight="1" outlineLevel="1">
      <c r="A47" s="65"/>
      <c r="B47" s="58" t="s">
        <v>89</v>
      </c>
      <c r="C47" s="59">
        <f>ROUND((0.045*0.52),3)</f>
        <v>2.3E-2</v>
      </c>
      <c r="D47" s="60" t="s">
        <v>90</v>
      </c>
      <c r="E47" s="61">
        <v>1016.95</v>
      </c>
      <c r="F47" s="61">
        <v>183.05</v>
      </c>
      <c r="G47" s="61">
        <f t="shared" si="4"/>
        <v>23.39</v>
      </c>
      <c r="H47" s="61">
        <f t="shared" si="5"/>
        <v>4.21</v>
      </c>
    </row>
    <row r="48" spans="1:9" s="62" customFormat="1" ht="14.25" customHeight="1" outlineLevel="1">
      <c r="A48" s="65"/>
      <c r="B48" s="58" t="s">
        <v>91</v>
      </c>
      <c r="C48" s="59">
        <f>ROUND((0.05*0.52),3)</f>
        <v>2.5999999999999999E-2</v>
      </c>
      <c r="D48" s="60" t="s">
        <v>92</v>
      </c>
      <c r="E48" s="61">
        <v>127.12</v>
      </c>
      <c r="F48" s="61">
        <v>22.88</v>
      </c>
      <c r="G48" s="61">
        <f t="shared" si="4"/>
        <v>3.31</v>
      </c>
      <c r="H48" s="61">
        <f t="shared" si="5"/>
        <v>0.59</v>
      </c>
    </row>
    <row r="49" spans="1:9" s="62" customFormat="1" ht="14.25" customHeight="1" outlineLevel="1">
      <c r="A49" s="65"/>
      <c r="B49" s="58" t="s">
        <v>93</v>
      </c>
      <c r="C49" s="57">
        <v>0.52</v>
      </c>
      <c r="D49" s="60" t="s">
        <v>94</v>
      </c>
      <c r="E49" s="61">
        <v>296.61</v>
      </c>
      <c r="F49" s="61">
        <v>53.39</v>
      </c>
      <c r="G49" s="61">
        <f t="shared" si="4"/>
        <v>154.24</v>
      </c>
      <c r="H49" s="61">
        <f t="shared" si="5"/>
        <v>27.76</v>
      </c>
    </row>
    <row r="50" spans="1:9" s="62" customFormat="1" ht="14.25" customHeight="1" outlineLevel="1">
      <c r="A50" s="65"/>
      <c r="B50" s="58" t="s">
        <v>95</v>
      </c>
      <c r="C50" s="57">
        <v>1</v>
      </c>
      <c r="D50" s="60" t="s">
        <v>96</v>
      </c>
      <c r="E50" s="61">
        <v>42.8</v>
      </c>
      <c r="F50" s="61">
        <v>0</v>
      </c>
      <c r="G50" s="61">
        <f>+E50</f>
        <v>42.8</v>
      </c>
      <c r="H50" s="61">
        <v>0</v>
      </c>
    </row>
    <row r="51" spans="1:9" s="62" customFormat="1" ht="14.25" customHeight="1" outlineLevel="1">
      <c r="A51" s="64"/>
      <c r="B51" s="53" t="s">
        <v>97</v>
      </c>
      <c r="C51" s="57"/>
      <c r="D51" s="57"/>
      <c r="E51" s="55"/>
      <c r="F51" s="55"/>
      <c r="G51" s="55"/>
      <c r="H51" s="55"/>
      <c r="I51" s="56"/>
    </row>
    <row r="52" spans="1:9" s="62" customFormat="1" ht="14.25" customHeight="1" outlineLevel="1">
      <c r="A52" s="65"/>
      <c r="B52" s="58" t="s">
        <v>98</v>
      </c>
      <c r="C52" s="57">
        <v>1</v>
      </c>
      <c r="D52" s="60" t="s">
        <v>82</v>
      </c>
      <c r="E52" s="61">
        <v>340.11</v>
      </c>
      <c r="F52" s="61">
        <v>0</v>
      </c>
      <c r="G52" s="61">
        <f>ROUND((C52*(E52)),2)</f>
        <v>340.11</v>
      </c>
      <c r="H52" s="61">
        <f>ROUND((C52*(F52)),2)</f>
        <v>0</v>
      </c>
    </row>
    <row r="53" spans="1:9" s="62" customFormat="1" ht="14.25" customHeight="1" outlineLevel="1">
      <c r="A53" s="65"/>
      <c r="B53" s="58" t="s">
        <v>80</v>
      </c>
      <c r="C53" s="57"/>
      <c r="D53" s="57"/>
      <c r="E53" s="61"/>
      <c r="F53" s="61"/>
      <c r="G53" s="61">
        <f>SUM(G44:G52)</f>
        <v>1981.4099999999999</v>
      </c>
      <c r="H53" s="61">
        <f>SUM(H44:H52)</f>
        <v>286.65999999999997</v>
      </c>
      <c r="I53" s="61">
        <f>SUM(G53:H53)</f>
        <v>2268.0699999999997</v>
      </c>
    </row>
    <row r="54" spans="1:9" s="62" customFormat="1" ht="14.25" customHeight="1" outlineLevel="1">
      <c r="A54" s="65"/>
      <c r="B54" s="58"/>
      <c r="C54" s="57"/>
      <c r="D54" s="57"/>
      <c r="E54" s="61"/>
      <c r="F54" s="61"/>
      <c r="G54" s="61"/>
      <c r="H54" s="61"/>
      <c r="I54" s="61"/>
    </row>
    <row r="55" spans="1:9" s="62" customFormat="1" ht="14.25" customHeight="1" outlineLevel="1">
      <c r="A55" s="63">
        <f>+A10+0.01</f>
        <v>0.01</v>
      </c>
      <c r="B55" s="49" t="s">
        <v>101</v>
      </c>
      <c r="C55" s="50">
        <v>1</v>
      </c>
      <c r="D55" s="50" t="s">
        <v>94</v>
      </c>
      <c r="E55" s="51"/>
      <c r="F55" s="51"/>
      <c r="G55" s="51">
        <f>+G68/C57</f>
        <v>1820.25</v>
      </c>
      <c r="H55" s="51">
        <f>+H68/C57</f>
        <v>264.08000000000004</v>
      </c>
      <c r="I55" s="52">
        <f>+H55+G55</f>
        <v>2084.33</v>
      </c>
    </row>
    <row r="56" spans="1:9" s="62" customFormat="1" ht="14.25" customHeight="1" outlineLevel="1">
      <c r="A56" s="64"/>
      <c r="B56" s="53"/>
      <c r="C56" s="54"/>
      <c r="D56" s="54"/>
      <c r="E56" s="55"/>
      <c r="F56" s="55"/>
      <c r="G56" s="55"/>
      <c r="H56" s="55"/>
      <c r="I56" s="56"/>
    </row>
    <row r="57" spans="1:9" s="62" customFormat="1" ht="14.25" customHeight="1" outlineLevel="1">
      <c r="A57" s="64"/>
      <c r="B57" s="53" t="s">
        <v>83</v>
      </c>
      <c r="C57" s="57">
        <v>1</v>
      </c>
      <c r="D57" s="57" t="s">
        <v>94</v>
      </c>
      <c r="E57" s="55"/>
      <c r="F57" s="55"/>
      <c r="G57" s="55"/>
      <c r="H57" s="55"/>
      <c r="I57" s="56"/>
    </row>
    <row r="58" spans="1:9" s="62" customFormat="1" ht="14.25" customHeight="1" outlineLevel="1">
      <c r="A58" s="64"/>
      <c r="B58" s="53" t="s">
        <v>84</v>
      </c>
      <c r="C58" s="57"/>
      <c r="D58" s="57"/>
      <c r="E58" s="55"/>
      <c r="F58" s="55"/>
      <c r="G58" s="55"/>
      <c r="H58" s="55"/>
      <c r="I58" s="56"/>
    </row>
    <row r="59" spans="1:9" s="62" customFormat="1" ht="14.25" customHeight="1" outlineLevel="1">
      <c r="A59" s="64"/>
      <c r="B59" s="58" t="s">
        <v>85</v>
      </c>
      <c r="C59" s="57">
        <f>0.0315*1.1</f>
        <v>3.465E-2</v>
      </c>
      <c r="D59" s="60" t="s">
        <v>86</v>
      </c>
      <c r="E59" s="61">
        <v>4197.71</v>
      </c>
      <c r="F59" s="61">
        <v>696.49</v>
      </c>
      <c r="G59" s="61">
        <f t="shared" ref="G59:G64" si="6">ROUND((C59*(E59)),2)</f>
        <v>145.44999999999999</v>
      </c>
      <c r="H59" s="61">
        <f t="shared" ref="H59:H64" si="7">ROUND((C59*(F59)),2)</f>
        <v>24.13</v>
      </c>
      <c r="I59" s="56"/>
    </row>
    <row r="60" spans="1:9" s="62" customFormat="1" ht="14.25" customHeight="1" outlineLevel="1">
      <c r="A60" s="65"/>
      <c r="B60" s="58" t="s">
        <v>102</v>
      </c>
      <c r="C60" s="57">
        <v>1.1000000000000001</v>
      </c>
      <c r="D60" s="60" t="s">
        <v>94</v>
      </c>
      <c r="E60" s="61">
        <v>805.08</v>
      </c>
      <c r="F60" s="61">
        <v>144.91</v>
      </c>
      <c r="G60" s="61">
        <f t="shared" si="6"/>
        <v>885.59</v>
      </c>
      <c r="H60" s="61">
        <f t="shared" si="7"/>
        <v>159.4</v>
      </c>
    </row>
    <row r="61" spans="1:9" s="62" customFormat="1" ht="14.25" customHeight="1" outlineLevel="1">
      <c r="A61" s="65"/>
      <c r="B61" s="58" t="s">
        <v>89</v>
      </c>
      <c r="C61" s="59">
        <v>4.4999999999999998E-2</v>
      </c>
      <c r="D61" s="60" t="s">
        <v>90</v>
      </c>
      <c r="E61" s="61">
        <v>1016.95</v>
      </c>
      <c r="F61" s="61">
        <v>183.05</v>
      </c>
      <c r="G61" s="61">
        <f t="shared" si="6"/>
        <v>45.76</v>
      </c>
      <c r="H61" s="61">
        <f t="shared" si="7"/>
        <v>8.24</v>
      </c>
    </row>
    <row r="62" spans="1:9" s="62" customFormat="1" ht="14.25" customHeight="1" outlineLevel="1">
      <c r="A62" s="65"/>
      <c r="B62" s="58" t="s">
        <v>91</v>
      </c>
      <c r="C62" s="57">
        <v>0.05</v>
      </c>
      <c r="D62" s="60" t="s">
        <v>92</v>
      </c>
      <c r="E62" s="61">
        <v>127.12</v>
      </c>
      <c r="F62" s="61">
        <v>22.88</v>
      </c>
      <c r="G62" s="61">
        <f t="shared" si="6"/>
        <v>6.36</v>
      </c>
      <c r="H62" s="61">
        <f t="shared" si="7"/>
        <v>1.1399999999999999</v>
      </c>
    </row>
    <row r="63" spans="1:9" s="62" customFormat="1" ht="14.25" customHeight="1" outlineLevel="1">
      <c r="A63" s="65"/>
      <c r="B63" s="58" t="s">
        <v>93</v>
      </c>
      <c r="C63" s="57">
        <v>1</v>
      </c>
      <c r="D63" s="60" t="s">
        <v>94</v>
      </c>
      <c r="E63" s="61">
        <v>296.61</v>
      </c>
      <c r="F63" s="61">
        <v>53.39</v>
      </c>
      <c r="G63" s="61">
        <f t="shared" si="6"/>
        <v>296.61</v>
      </c>
      <c r="H63" s="61">
        <f t="shared" si="7"/>
        <v>53.39</v>
      </c>
    </row>
    <row r="64" spans="1:9" s="62" customFormat="1" ht="14.25" customHeight="1" outlineLevel="1">
      <c r="A64" s="65"/>
      <c r="B64" s="58" t="s">
        <v>103</v>
      </c>
      <c r="C64" s="57">
        <v>3.33</v>
      </c>
      <c r="D64" s="60" t="s">
        <v>104</v>
      </c>
      <c r="E64" s="61">
        <v>29.66</v>
      </c>
      <c r="F64" s="61">
        <v>5.34</v>
      </c>
      <c r="G64" s="61">
        <f t="shared" si="6"/>
        <v>98.77</v>
      </c>
      <c r="H64" s="61">
        <f t="shared" si="7"/>
        <v>17.78</v>
      </c>
    </row>
    <row r="65" spans="1:9" s="62" customFormat="1" ht="14.25" customHeight="1" outlineLevel="1">
      <c r="A65" s="65"/>
      <c r="B65" s="58" t="s">
        <v>95</v>
      </c>
      <c r="C65" s="57">
        <v>1</v>
      </c>
      <c r="D65" s="60" t="s">
        <v>96</v>
      </c>
      <c r="E65" s="61">
        <v>31.35</v>
      </c>
      <c r="F65" s="61">
        <v>0</v>
      </c>
      <c r="G65" s="61">
        <f>+E65</f>
        <v>31.35</v>
      </c>
      <c r="H65" s="61">
        <v>0</v>
      </c>
    </row>
    <row r="66" spans="1:9" s="62" customFormat="1" ht="14.25" customHeight="1" outlineLevel="1">
      <c r="A66" s="64"/>
      <c r="B66" s="53" t="s">
        <v>97</v>
      </c>
      <c r="C66" s="57"/>
      <c r="D66" s="57"/>
      <c r="E66" s="55"/>
      <c r="F66" s="55"/>
      <c r="G66" s="55"/>
      <c r="H66" s="55"/>
      <c r="I66" s="56"/>
    </row>
    <row r="67" spans="1:9" s="62" customFormat="1" ht="14.25" customHeight="1" outlineLevel="1">
      <c r="A67" s="65"/>
      <c r="B67" s="58" t="s">
        <v>105</v>
      </c>
      <c r="C67" s="57">
        <v>1</v>
      </c>
      <c r="D67" s="60" t="s">
        <v>94</v>
      </c>
      <c r="E67" s="61">
        <v>310.36</v>
      </c>
      <c r="F67" s="61">
        <v>0</v>
      </c>
      <c r="G67" s="61">
        <f>ROUND((C67*(E67)),2)</f>
        <v>310.36</v>
      </c>
      <c r="H67" s="61">
        <f>ROUND((C67*(F67)),2)</f>
        <v>0</v>
      </c>
    </row>
    <row r="68" spans="1:9" s="62" customFormat="1" ht="14.25" customHeight="1" outlineLevel="1">
      <c r="A68" s="65"/>
      <c r="B68" s="58" t="s">
        <v>80</v>
      </c>
      <c r="C68" s="57"/>
      <c r="D68" s="57"/>
      <c r="E68" s="61"/>
      <c r="F68" s="61"/>
      <c r="G68" s="61">
        <f>SUM(G59:G67)</f>
        <v>1820.25</v>
      </c>
      <c r="H68" s="61">
        <f>SUM(H59:H67)</f>
        <v>264.08000000000004</v>
      </c>
      <c r="I68" s="61">
        <f>SUM(G68:H68)</f>
        <v>2084.33</v>
      </c>
    </row>
    <row r="69" spans="1:9" s="62" customFormat="1" ht="14.25" customHeight="1" outlineLevel="1">
      <c r="A69" s="65"/>
      <c r="B69" s="58"/>
      <c r="C69" s="57"/>
      <c r="D69" s="57"/>
      <c r="E69" s="61"/>
      <c r="F69" s="61"/>
      <c r="G69" s="61"/>
      <c r="H69" s="61"/>
      <c r="I69" s="61"/>
    </row>
    <row r="70" spans="1:9" s="62" customFormat="1" ht="14.25" customHeight="1" outlineLevel="1">
      <c r="A70" s="63"/>
      <c r="B70" s="49" t="s">
        <v>106</v>
      </c>
      <c r="C70" s="50">
        <v>1</v>
      </c>
      <c r="D70" s="50" t="s">
        <v>82</v>
      </c>
      <c r="E70" s="51"/>
      <c r="F70" s="51"/>
      <c r="G70" s="51">
        <f>+G81/C72</f>
        <v>1439.81</v>
      </c>
      <c r="H70" s="51">
        <f>+H81/C72</f>
        <v>190.17999999999998</v>
      </c>
      <c r="I70" s="52">
        <f>+H70+G70</f>
        <v>1629.99</v>
      </c>
    </row>
    <row r="71" spans="1:9" s="62" customFormat="1" ht="14.25" customHeight="1" outlineLevel="1">
      <c r="A71" s="64"/>
      <c r="B71" s="53"/>
      <c r="C71" s="54"/>
      <c r="D71" s="54"/>
      <c r="E71" s="55"/>
      <c r="F71" s="55"/>
      <c r="G71" s="55"/>
      <c r="H71" s="55"/>
      <c r="I71" s="56"/>
    </row>
    <row r="72" spans="1:9" s="62" customFormat="1" ht="14.25" customHeight="1" outlineLevel="1">
      <c r="A72" s="64"/>
      <c r="B72" s="53" t="s">
        <v>83</v>
      </c>
      <c r="C72" s="57">
        <v>1</v>
      </c>
      <c r="D72" s="57" t="s">
        <v>82</v>
      </c>
      <c r="E72" s="55"/>
      <c r="F72" s="55"/>
      <c r="G72" s="55"/>
      <c r="H72" s="55"/>
      <c r="I72" s="56"/>
    </row>
    <row r="73" spans="1:9" s="62" customFormat="1" ht="14.25" customHeight="1" outlineLevel="1">
      <c r="A73" s="64"/>
      <c r="B73" s="53" t="s">
        <v>84</v>
      </c>
      <c r="C73" s="57"/>
      <c r="D73" s="57"/>
      <c r="E73" s="55"/>
      <c r="F73" s="55"/>
      <c r="G73" s="55"/>
      <c r="H73" s="55"/>
      <c r="I73" s="56"/>
    </row>
    <row r="74" spans="1:9" s="62" customFormat="1" ht="14.25" customHeight="1" outlineLevel="1">
      <c r="A74" s="64"/>
      <c r="B74" s="58" t="s">
        <v>85</v>
      </c>
      <c r="C74" s="59">
        <f>ROUND((0.032*1.1*0.52),3)</f>
        <v>1.7999999999999999E-2</v>
      </c>
      <c r="D74" s="60" t="s">
        <v>86</v>
      </c>
      <c r="E74" s="61">
        <v>4197.71</v>
      </c>
      <c r="F74" s="61">
        <v>696.49</v>
      </c>
      <c r="G74" s="61">
        <f>ROUND((C74*(E74)),2)</f>
        <v>75.56</v>
      </c>
      <c r="H74" s="61">
        <f>ROUND((C74*(F74)),2)</f>
        <v>12.54</v>
      </c>
      <c r="I74" s="56"/>
    </row>
    <row r="75" spans="1:9" s="62" customFormat="1" ht="22.5" customHeight="1" outlineLevel="1">
      <c r="A75" s="65"/>
      <c r="B75" s="58" t="s">
        <v>107</v>
      </c>
      <c r="C75" s="83">
        <v>1.1000000000000001</v>
      </c>
      <c r="D75" s="89" t="s">
        <v>82</v>
      </c>
      <c r="E75" s="90">
        <v>754</v>
      </c>
      <c r="F75" s="90">
        <f>E75*0.18</f>
        <v>135.72</v>
      </c>
      <c r="G75" s="90">
        <f>ROUND((C75*(E75)),2)</f>
        <v>829.4</v>
      </c>
      <c r="H75" s="90">
        <f>ROUND((C75*(F75)),2)</f>
        <v>149.29</v>
      </c>
    </row>
    <row r="76" spans="1:9" s="62" customFormat="1" ht="14.25" customHeight="1" outlineLevel="1">
      <c r="A76" s="65"/>
      <c r="B76" s="58" t="s">
        <v>91</v>
      </c>
      <c r="C76" s="59">
        <f>ROUND((0.05*0.52),3)</f>
        <v>2.5999999999999999E-2</v>
      </c>
      <c r="D76" s="60" t="s">
        <v>92</v>
      </c>
      <c r="E76" s="61">
        <v>127.12</v>
      </c>
      <c r="F76" s="61">
        <v>22.88</v>
      </c>
      <c r="G76" s="61">
        <f>ROUND((C76*(E76)),2)</f>
        <v>3.31</v>
      </c>
      <c r="H76" s="61">
        <f>ROUND((C76*(F76)),2)</f>
        <v>0.59</v>
      </c>
    </row>
    <row r="77" spans="1:9" s="62" customFormat="1" ht="14.25" customHeight="1" outlineLevel="1">
      <c r="A77" s="65"/>
      <c r="B77" s="58" t="s">
        <v>93</v>
      </c>
      <c r="C77" s="57">
        <v>0.52</v>
      </c>
      <c r="D77" s="60" t="s">
        <v>94</v>
      </c>
      <c r="E77" s="61">
        <v>296.61</v>
      </c>
      <c r="F77" s="61">
        <v>53.39</v>
      </c>
      <c r="G77" s="61">
        <f>ROUND((C77*(E77)),2)</f>
        <v>154.24</v>
      </c>
      <c r="H77" s="61">
        <f>ROUND((C77*(F77)),2)</f>
        <v>27.76</v>
      </c>
    </row>
    <row r="78" spans="1:9" s="62" customFormat="1" ht="14.25" customHeight="1" outlineLevel="1">
      <c r="A78" s="65"/>
      <c r="B78" s="58" t="s">
        <v>95</v>
      </c>
      <c r="C78" s="57">
        <v>1</v>
      </c>
      <c r="D78" s="60" t="s">
        <v>96</v>
      </c>
      <c r="E78" s="61">
        <v>37.19</v>
      </c>
      <c r="F78" s="61">
        <v>0</v>
      </c>
      <c r="G78" s="61">
        <f>+E78</f>
        <v>37.19</v>
      </c>
      <c r="H78" s="61">
        <v>0</v>
      </c>
    </row>
    <row r="79" spans="1:9" s="62" customFormat="1" ht="14.25" customHeight="1" outlineLevel="1">
      <c r="A79" s="64"/>
      <c r="B79" s="53" t="s">
        <v>97</v>
      </c>
      <c r="C79" s="57"/>
      <c r="D79" s="57"/>
      <c r="E79" s="55"/>
      <c r="F79" s="55"/>
      <c r="G79" s="55"/>
      <c r="H79" s="55"/>
      <c r="I79" s="56"/>
    </row>
    <row r="80" spans="1:9" s="62" customFormat="1" ht="14.25" customHeight="1" outlineLevel="1">
      <c r="A80" s="65"/>
      <c r="B80" s="58" t="s">
        <v>98</v>
      </c>
      <c r="C80" s="57">
        <v>1</v>
      </c>
      <c r="D80" s="60" t="s">
        <v>82</v>
      </c>
      <c r="E80" s="61">
        <v>340.11</v>
      </c>
      <c r="F80" s="61">
        <v>0</v>
      </c>
      <c r="G80" s="61">
        <f>ROUND((C80*(E80)),2)</f>
        <v>340.11</v>
      </c>
      <c r="H80" s="61">
        <f>ROUND((C80*(F80)),2)</f>
        <v>0</v>
      </c>
    </row>
    <row r="81" spans="1:9" s="62" customFormat="1" ht="14.25" customHeight="1" outlineLevel="1">
      <c r="A81" s="65"/>
      <c r="B81" s="58" t="s">
        <v>80</v>
      </c>
      <c r="C81" s="57"/>
      <c r="D81" s="57"/>
      <c r="E81" s="61"/>
      <c r="F81" s="61"/>
      <c r="G81" s="61">
        <f>SUM(G74:G80)</f>
        <v>1439.81</v>
      </c>
      <c r="H81" s="61">
        <f>SUM(H74:H80)</f>
        <v>190.17999999999998</v>
      </c>
      <c r="I81" s="61">
        <f>SUM(G81:H81)</f>
        <v>1629.99</v>
      </c>
    </row>
    <row r="82" spans="1:9" s="62" customFormat="1" ht="14.25" customHeight="1" outlineLevel="1">
      <c r="A82" s="65"/>
      <c r="B82" s="58"/>
      <c r="C82" s="57"/>
      <c r="D82" s="57"/>
      <c r="E82" s="61"/>
      <c r="F82" s="61"/>
      <c r="G82" s="61"/>
      <c r="H82" s="61"/>
      <c r="I82" s="61"/>
    </row>
    <row r="83" spans="1:9" s="62" customFormat="1" ht="27" customHeight="1" outlineLevel="1">
      <c r="A83" s="63"/>
      <c r="B83" s="85" t="s">
        <v>108</v>
      </c>
      <c r="C83" s="82">
        <v>1</v>
      </c>
      <c r="D83" s="82" t="s">
        <v>94</v>
      </c>
      <c r="E83" s="86"/>
      <c r="F83" s="86"/>
      <c r="G83" s="86">
        <f>+G95/C85</f>
        <v>1465.99</v>
      </c>
      <c r="H83" s="86">
        <f>+H95/C85</f>
        <v>210.67999999999998</v>
      </c>
      <c r="I83" s="84">
        <f>+H83+G83</f>
        <v>1676.67</v>
      </c>
    </row>
    <row r="84" spans="1:9" s="62" customFormat="1" ht="14.25" customHeight="1" outlineLevel="1">
      <c r="A84" s="64"/>
      <c r="B84" s="53"/>
      <c r="C84" s="54"/>
      <c r="D84" s="54"/>
      <c r="E84" s="55"/>
      <c r="F84" s="55"/>
      <c r="G84" s="55"/>
      <c r="H84" s="55"/>
      <c r="I84" s="56"/>
    </row>
    <row r="85" spans="1:9" s="62" customFormat="1" ht="14.25" customHeight="1" outlineLevel="1">
      <c r="A85" s="64"/>
      <c r="B85" s="53" t="s">
        <v>83</v>
      </c>
      <c r="C85" s="57">
        <v>1</v>
      </c>
      <c r="D85" s="57" t="s">
        <v>94</v>
      </c>
      <c r="E85" s="55"/>
      <c r="F85" s="55"/>
      <c r="G85" s="55"/>
      <c r="H85" s="55"/>
      <c r="I85" s="56"/>
    </row>
    <row r="86" spans="1:9" s="62" customFormat="1" ht="14.25" customHeight="1" outlineLevel="1">
      <c r="A86" s="64"/>
      <c r="B86" s="53" t="s">
        <v>84</v>
      </c>
      <c r="C86" s="57"/>
      <c r="D86" s="57"/>
      <c r="E86" s="55"/>
      <c r="F86" s="55"/>
      <c r="G86" s="55"/>
      <c r="H86" s="55"/>
      <c r="I86" s="56"/>
    </row>
    <row r="87" spans="1:9" s="62" customFormat="1" ht="14.25" customHeight="1" outlineLevel="1">
      <c r="A87" s="64"/>
      <c r="B87" s="58" t="s">
        <v>85</v>
      </c>
      <c r="C87" s="57">
        <f>0.0315*1.1</f>
        <v>3.465E-2</v>
      </c>
      <c r="D87" s="60" t="s">
        <v>86</v>
      </c>
      <c r="E87" s="61">
        <v>4197.71</v>
      </c>
      <c r="F87" s="61">
        <v>696.49</v>
      </c>
      <c r="G87" s="61">
        <f>ROUND((C87*(E87)),2)</f>
        <v>145.44999999999999</v>
      </c>
      <c r="H87" s="61">
        <f>ROUND((C87*(F87)),2)</f>
        <v>24.13</v>
      </c>
      <c r="I87" s="56"/>
    </row>
    <row r="88" spans="1:9" s="62" customFormat="1" ht="14.25" customHeight="1" outlineLevel="1">
      <c r="A88" s="65"/>
      <c r="B88" s="58" t="s">
        <v>109</v>
      </c>
      <c r="C88" s="57">
        <v>1.1000000000000001</v>
      </c>
      <c r="D88" s="60" t="s">
        <v>94</v>
      </c>
      <c r="E88" s="61">
        <v>805</v>
      </c>
      <c r="F88" s="61">
        <f>E88*0.18</f>
        <v>144.9</v>
      </c>
      <c r="G88" s="61">
        <f>ROUND((C88*(E88)),2)</f>
        <v>885.5</v>
      </c>
      <c r="H88" s="61">
        <f>ROUND((C88*(F88)),2)</f>
        <v>159.38999999999999</v>
      </c>
    </row>
    <row r="89" spans="1:9" s="62" customFormat="1" ht="14.25" customHeight="1" outlineLevel="1">
      <c r="A89" s="65"/>
      <c r="B89" s="58" t="s">
        <v>89</v>
      </c>
      <c r="C89" s="59">
        <v>4.4999999999999998E-2</v>
      </c>
      <c r="D89" s="60" t="s">
        <v>90</v>
      </c>
      <c r="E89" s="61">
        <v>1016.95</v>
      </c>
      <c r="F89" s="61">
        <v>183.05</v>
      </c>
      <c r="G89" s="61">
        <f>ROUND((C89*(E89)),2)</f>
        <v>45.76</v>
      </c>
      <c r="H89" s="61">
        <f>ROUND((C89*(F89)),2)</f>
        <v>8.24</v>
      </c>
    </row>
    <row r="90" spans="1:9" s="62" customFormat="1" ht="14.25" customHeight="1" outlineLevel="1">
      <c r="A90" s="65"/>
      <c r="B90" s="58" t="s">
        <v>91</v>
      </c>
      <c r="C90" s="57">
        <v>0.05</v>
      </c>
      <c r="D90" s="60" t="s">
        <v>92</v>
      </c>
      <c r="E90" s="61">
        <v>127.12</v>
      </c>
      <c r="F90" s="61">
        <v>22.88</v>
      </c>
      <c r="G90" s="61">
        <f>ROUND((C90*(E90)),2)</f>
        <v>6.36</v>
      </c>
      <c r="H90" s="61">
        <f>ROUND((C90*(F90)),2)</f>
        <v>1.1399999999999999</v>
      </c>
    </row>
    <row r="91" spans="1:9" s="62" customFormat="1" ht="14.25" customHeight="1" outlineLevel="1">
      <c r="A91" s="65"/>
      <c r="B91" s="58" t="s">
        <v>103</v>
      </c>
      <c r="C91" s="57">
        <v>3.33</v>
      </c>
      <c r="D91" s="60" t="s">
        <v>104</v>
      </c>
      <c r="E91" s="61">
        <v>29.66</v>
      </c>
      <c r="F91" s="61">
        <v>5.34</v>
      </c>
      <c r="G91" s="61">
        <f>ROUND((C91*(E91)),2)</f>
        <v>98.77</v>
      </c>
      <c r="H91" s="61">
        <f>ROUND((C91*(F91)),2)</f>
        <v>17.78</v>
      </c>
    </row>
    <row r="92" spans="1:9" s="62" customFormat="1" ht="14.25" customHeight="1" outlineLevel="1">
      <c r="A92" s="65"/>
      <c r="B92" s="58" t="s">
        <v>95</v>
      </c>
      <c r="C92" s="57">
        <v>1</v>
      </c>
      <c r="D92" s="60" t="s">
        <v>96</v>
      </c>
      <c r="E92" s="61">
        <v>23.43</v>
      </c>
      <c r="F92" s="61">
        <v>0</v>
      </c>
      <c r="G92" s="61">
        <f>+E92</f>
        <v>23.43</v>
      </c>
      <c r="H92" s="61">
        <v>0</v>
      </c>
    </row>
    <row r="93" spans="1:9" s="62" customFormat="1" ht="14.25" customHeight="1" outlineLevel="1">
      <c r="A93" s="64"/>
      <c r="B93" s="53" t="s">
        <v>97</v>
      </c>
      <c r="C93" s="57"/>
      <c r="D93" s="57"/>
      <c r="E93" s="55"/>
      <c r="F93" s="55"/>
      <c r="G93" s="55"/>
      <c r="H93" s="55"/>
      <c r="I93" s="56"/>
    </row>
    <row r="94" spans="1:9" s="62" customFormat="1" ht="14.25" customHeight="1" outlineLevel="1">
      <c r="A94" s="65"/>
      <c r="B94" s="58" t="s">
        <v>110</v>
      </c>
      <c r="C94" s="57">
        <v>1</v>
      </c>
      <c r="D94" s="60" t="s">
        <v>94</v>
      </c>
      <c r="E94" s="61">
        <v>260.72000000000003</v>
      </c>
      <c r="F94" s="61">
        <v>0</v>
      </c>
      <c r="G94" s="61">
        <f>ROUND((C94*(E94)),2)</f>
        <v>260.72000000000003</v>
      </c>
      <c r="H94" s="61">
        <f>ROUND((C94*(F94)),2)</f>
        <v>0</v>
      </c>
    </row>
    <row r="95" spans="1:9" s="62" customFormat="1" ht="14.25" customHeight="1" outlineLevel="1">
      <c r="A95" s="65"/>
      <c r="B95" s="58" t="s">
        <v>80</v>
      </c>
      <c r="C95" s="57"/>
      <c r="D95" s="57"/>
      <c r="E95" s="61"/>
      <c r="F95" s="61"/>
      <c r="G95" s="61">
        <f>SUM(G87:G94)</f>
        <v>1465.99</v>
      </c>
      <c r="H95" s="61">
        <f>SUM(H87:H94)</f>
        <v>210.67999999999998</v>
      </c>
      <c r="I95" s="61">
        <f>SUM(G95:H95)</f>
        <v>1676.67</v>
      </c>
    </row>
    <row r="96" spans="1:9" s="62" customFormat="1" ht="14.25" customHeight="1" outlineLevel="1">
      <c r="A96" s="65"/>
      <c r="B96" s="58"/>
      <c r="C96" s="57"/>
      <c r="D96" s="57"/>
      <c r="E96" s="61"/>
      <c r="F96" s="61"/>
      <c r="G96" s="61"/>
      <c r="H96" s="61"/>
      <c r="I96" s="61"/>
    </row>
    <row r="97" spans="1:9" s="62" customFormat="1" ht="24" customHeight="1" outlineLevel="1">
      <c r="A97" s="63"/>
      <c r="B97" s="85" t="s">
        <v>111</v>
      </c>
      <c r="C97" s="82">
        <v>1</v>
      </c>
      <c r="D97" s="82" t="s">
        <v>94</v>
      </c>
      <c r="E97" s="86"/>
      <c r="F97" s="86"/>
      <c r="G97" s="86">
        <f>+G111/C99</f>
        <v>3431.86</v>
      </c>
      <c r="H97" s="86">
        <f>+H111/C99</f>
        <v>527.11000000000013</v>
      </c>
      <c r="I97" s="84">
        <f>+H97+G97</f>
        <v>3958.9700000000003</v>
      </c>
    </row>
    <row r="98" spans="1:9" s="62" customFormat="1" ht="14.25" customHeight="1" outlineLevel="1">
      <c r="A98" s="64"/>
      <c r="B98" s="53"/>
      <c r="C98" s="54"/>
      <c r="D98" s="54"/>
      <c r="E98" s="55"/>
      <c r="F98" s="55"/>
      <c r="G98" s="55"/>
      <c r="H98" s="55"/>
      <c r="I98" s="56"/>
    </row>
    <row r="99" spans="1:9" s="62" customFormat="1" ht="14.25" customHeight="1" outlineLevel="1">
      <c r="A99" s="64"/>
      <c r="B99" s="53" t="s">
        <v>83</v>
      </c>
      <c r="C99" s="57">
        <v>1</v>
      </c>
      <c r="D99" s="57" t="s">
        <v>94</v>
      </c>
      <c r="E99" s="55"/>
      <c r="F99" s="55"/>
      <c r="G99" s="55"/>
      <c r="H99" s="55"/>
      <c r="I99" s="56"/>
    </row>
    <row r="100" spans="1:9" s="62" customFormat="1" ht="14.25" customHeight="1" outlineLevel="1">
      <c r="A100" s="64"/>
      <c r="B100" s="53" t="s">
        <v>84</v>
      </c>
      <c r="C100" s="57"/>
      <c r="D100" s="57"/>
      <c r="E100" s="55"/>
      <c r="F100" s="55"/>
      <c r="G100" s="55"/>
      <c r="H100" s="55"/>
      <c r="I100" s="56"/>
    </row>
    <row r="101" spans="1:9" s="62" customFormat="1" ht="14.25" customHeight="1" outlineLevel="1">
      <c r="A101" s="65"/>
      <c r="B101" s="58" t="s">
        <v>112</v>
      </c>
      <c r="C101" s="57">
        <v>1.1000000000000001</v>
      </c>
      <c r="D101" s="60" t="s">
        <v>94</v>
      </c>
      <c r="E101" s="61">
        <v>2432.3200000000002</v>
      </c>
      <c r="F101" s="61">
        <f>E101*0.18</f>
        <v>437.81760000000003</v>
      </c>
      <c r="G101" s="61">
        <f t="shared" ref="G101:G107" si="8">ROUND((C101*(E101)),2)</f>
        <v>2675.55</v>
      </c>
      <c r="H101" s="61">
        <f t="shared" ref="H101:H107" si="9">ROUND((C101*(F101)),2)</f>
        <v>481.6</v>
      </c>
    </row>
    <row r="102" spans="1:9" s="62" customFormat="1" ht="14.25" customHeight="1" outlineLevel="1">
      <c r="A102" s="64"/>
      <c r="B102" s="58" t="s">
        <v>113</v>
      </c>
      <c r="C102" s="57">
        <v>0.14000000000000001</v>
      </c>
      <c r="D102" s="60" t="s">
        <v>90</v>
      </c>
      <c r="E102" s="61">
        <v>555.08000000000004</v>
      </c>
      <c r="F102" s="61">
        <f>E102*0.18</f>
        <v>99.914400000000001</v>
      </c>
      <c r="G102" s="61">
        <f t="shared" si="8"/>
        <v>77.709999999999994</v>
      </c>
      <c r="H102" s="61">
        <f t="shared" si="9"/>
        <v>13.99</v>
      </c>
      <c r="I102" s="56"/>
    </row>
    <row r="103" spans="1:9" s="62" customFormat="1" ht="14.25" customHeight="1" outlineLevel="1">
      <c r="A103" s="64"/>
      <c r="B103" s="58" t="s">
        <v>114</v>
      </c>
      <c r="C103" s="57">
        <v>0.05</v>
      </c>
      <c r="D103" s="60" t="s">
        <v>90</v>
      </c>
      <c r="E103" s="61">
        <v>372.88</v>
      </c>
      <c r="F103" s="61">
        <v>67.12</v>
      </c>
      <c r="G103" s="61">
        <f t="shared" si="8"/>
        <v>18.64</v>
      </c>
      <c r="H103" s="61">
        <f t="shared" si="9"/>
        <v>3.36</v>
      </c>
      <c r="I103" s="56"/>
    </row>
    <row r="104" spans="1:9" s="62" customFormat="1" ht="14.25" customHeight="1" outlineLevel="1">
      <c r="A104" s="65"/>
      <c r="B104" s="58" t="s">
        <v>89</v>
      </c>
      <c r="C104" s="59">
        <v>3.0000000000000001E-3</v>
      </c>
      <c r="D104" s="60" t="s">
        <v>90</v>
      </c>
      <c r="E104" s="61">
        <v>1016.95</v>
      </c>
      <c r="F104" s="61">
        <v>183.05</v>
      </c>
      <c r="G104" s="61">
        <f t="shared" si="8"/>
        <v>3.05</v>
      </c>
      <c r="H104" s="61">
        <f t="shared" si="9"/>
        <v>0.55000000000000004</v>
      </c>
    </row>
    <row r="105" spans="1:9" s="62" customFormat="1" ht="14.25" customHeight="1" outlineLevel="1">
      <c r="A105" s="65"/>
      <c r="B105" s="58" t="s">
        <v>115</v>
      </c>
      <c r="C105" s="57">
        <v>0.05</v>
      </c>
      <c r="D105" s="60" t="s">
        <v>92</v>
      </c>
      <c r="E105" s="61">
        <v>127.12</v>
      </c>
      <c r="F105" s="61">
        <v>22.88</v>
      </c>
      <c r="G105" s="61">
        <f t="shared" si="8"/>
        <v>6.36</v>
      </c>
      <c r="H105" s="61">
        <f t="shared" si="9"/>
        <v>1.1399999999999999</v>
      </c>
    </row>
    <row r="106" spans="1:9" s="62" customFormat="1" ht="14.25" customHeight="1" outlineLevel="1">
      <c r="A106" s="65"/>
      <c r="B106" s="58" t="s">
        <v>116</v>
      </c>
      <c r="C106" s="57">
        <v>4.5</v>
      </c>
      <c r="D106" s="60" t="s">
        <v>104</v>
      </c>
      <c r="E106" s="61">
        <v>29.66</v>
      </c>
      <c r="F106" s="61">
        <v>5.34</v>
      </c>
      <c r="G106" s="61">
        <f t="shared" si="8"/>
        <v>133.47</v>
      </c>
      <c r="H106" s="61">
        <f t="shared" si="9"/>
        <v>24.03</v>
      </c>
    </row>
    <row r="107" spans="1:9" s="62" customFormat="1" ht="14.25" customHeight="1" outlineLevel="1">
      <c r="A107" s="65"/>
      <c r="B107" s="58" t="s">
        <v>117</v>
      </c>
      <c r="C107" s="57">
        <v>0.05</v>
      </c>
      <c r="D107" s="60" t="s">
        <v>90</v>
      </c>
      <c r="E107" s="61">
        <v>271.19</v>
      </c>
      <c r="F107" s="61">
        <v>48.81</v>
      </c>
      <c r="G107" s="61">
        <f t="shared" si="8"/>
        <v>13.56</v>
      </c>
      <c r="H107" s="61">
        <f t="shared" si="9"/>
        <v>2.44</v>
      </c>
    </row>
    <row r="108" spans="1:9" s="62" customFormat="1" ht="14.25" customHeight="1" outlineLevel="1">
      <c r="A108" s="65"/>
      <c r="B108" s="58" t="s">
        <v>118</v>
      </c>
      <c r="C108" s="57">
        <v>1</v>
      </c>
      <c r="D108" s="60" t="s">
        <v>96</v>
      </c>
      <c r="E108" s="61">
        <v>50.4</v>
      </c>
      <c r="F108" s="61">
        <v>0</v>
      </c>
      <c r="G108" s="61">
        <f>+E108</f>
        <v>50.4</v>
      </c>
      <c r="H108" s="61">
        <v>0</v>
      </c>
    </row>
    <row r="109" spans="1:9" s="62" customFormat="1" ht="14.25" customHeight="1" outlineLevel="1">
      <c r="A109" s="65"/>
      <c r="B109" s="53" t="s">
        <v>97</v>
      </c>
      <c r="C109" s="57"/>
      <c r="D109" s="60"/>
      <c r="E109" s="61"/>
      <c r="F109" s="61"/>
      <c r="G109" s="61"/>
      <c r="H109" s="61"/>
    </row>
    <row r="110" spans="1:9" s="62" customFormat="1" ht="14.25" customHeight="1" outlineLevel="1">
      <c r="A110" s="65"/>
      <c r="B110" s="58" t="s">
        <v>119</v>
      </c>
      <c r="C110" s="57">
        <v>1</v>
      </c>
      <c r="D110" s="60" t="s">
        <v>94</v>
      </c>
      <c r="E110" s="61">
        <v>453.12</v>
      </c>
      <c r="F110" s="61">
        <v>0</v>
      </c>
      <c r="G110" s="61">
        <f>ROUND((C110*(E110)),2)</f>
        <v>453.12</v>
      </c>
      <c r="H110" s="61">
        <f>ROUND((C110*(F110)),2)</f>
        <v>0</v>
      </c>
    </row>
    <row r="111" spans="1:9" s="62" customFormat="1" ht="14.25" customHeight="1" outlineLevel="1">
      <c r="A111" s="65"/>
      <c r="B111" s="58" t="s">
        <v>80</v>
      </c>
      <c r="C111" s="57"/>
      <c r="D111" s="57"/>
      <c r="E111" s="61"/>
      <c r="F111" s="61"/>
      <c r="G111" s="61">
        <f>SUM(G101:G110)</f>
        <v>3431.86</v>
      </c>
      <c r="H111" s="61">
        <f>SUM(H101:H110)</f>
        <v>527.11000000000013</v>
      </c>
      <c r="I111" s="61">
        <f>SUM(G111:H111)</f>
        <v>3958.9700000000003</v>
      </c>
    </row>
    <row r="112" spans="1:9" s="62" customFormat="1" ht="14.25" customHeight="1" outlineLevel="1">
      <c r="A112" s="65"/>
      <c r="B112" s="58"/>
      <c r="C112" s="57"/>
      <c r="D112" s="57"/>
      <c r="E112" s="61"/>
      <c r="F112" s="61"/>
      <c r="G112" s="61"/>
      <c r="H112" s="61"/>
      <c r="I112" s="61"/>
    </row>
    <row r="113" spans="1:9">
      <c r="A113" s="63"/>
      <c r="B113" s="49" t="s">
        <v>120</v>
      </c>
      <c r="C113" s="50">
        <v>1</v>
      </c>
      <c r="D113" s="50" t="s">
        <v>94</v>
      </c>
      <c r="E113" s="51"/>
      <c r="F113" s="51"/>
      <c r="G113" s="51">
        <f>+G130/C115</f>
        <v>1214.3400000000001</v>
      </c>
      <c r="H113" s="51">
        <f>+H130/C115</f>
        <v>143.88</v>
      </c>
      <c r="I113" s="52">
        <f>+H113+G113</f>
        <v>1358.2200000000003</v>
      </c>
    </row>
    <row r="114" spans="1:9">
      <c r="A114" s="64"/>
      <c r="B114" s="53"/>
      <c r="C114" s="54"/>
      <c r="D114" s="54"/>
      <c r="E114" s="55"/>
      <c r="F114" s="55"/>
      <c r="G114" s="55"/>
      <c r="H114" s="55"/>
      <c r="I114" s="56"/>
    </row>
    <row r="115" spans="1:9">
      <c r="A115" s="64"/>
      <c r="B115" s="53" t="s">
        <v>83</v>
      </c>
      <c r="C115" s="57">
        <v>1</v>
      </c>
      <c r="D115" s="57" t="s">
        <v>94</v>
      </c>
      <c r="E115" s="55"/>
      <c r="F115" s="55"/>
      <c r="G115" s="55"/>
      <c r="H115" s="55"/>
      <c r="I115" s="56"/>
    </row>
    <row r="116" spans="1:9">
      <c r="A116" s="64"/>
      <c r="B116" s="53" t="s">
        <v>84</v>
      </c>
      <c r="C116" s="57"/>
      <c r="D116" s="57"/>
      <c r="E116" s="55"/>
      <c r="F116" s="55"/>
      <c r="G116" s="55"/>
      <c r="H116" s="55"/>
      <c r="I116" s="56"/>
    </row>
    <row r="117" spans="1:9">
      <c r="A117" s="65"/>
      <c r="B117" s="62" t="s">
        <v>121</v>
      </c>
      <c r="C117" s="57">
        <v>1.4850000000000001</v>
      </c>
      <c r="D117" s="60" t="s">
        <v>104</v>
      </c>
      <c r="E117" s="61">
        <v>335</v>
      </c>
      <c r="F117" s="61">
        <f t="shared" ref="F117:F125" si="10">E117*0.18</f>
        <v>60.3</v>
      </c>
      <c r="G117" s="61">
        <f t="shared" ref="G117:G125" si="11">ROUND((C117*(E117)),2)</f>
        <v>497.48</v>
      </c>
      <c r="H117" s="61">
        <f t="shared" ref="H117:H125" si="12">ROUND((C117*(F117)),2)</f>
        <v>89.55</v>
      </c>
      <c r="I117" s="62"/>
    </row>
    <row r="118" spans="1:9">
      <c r="A118" s="65"/>
      <c r="B118" s="62" t="s">
        <v>122</v>
      </c>
      <c r="C118" s="57">
        <v>1.67</v>
      </c>
      <c r="D118" s="60" t="s">
        <v>104</v>
      </c>
      <c r="E118" s="61">
        <v>77.97</v>
      </c>
      <c r="F118" s="61">
        <f t="shared" si="10"/>
        <v>14.034599999999999</v>
      </c>
      <c r="G118" s="61">
        <f t="shared" si="11"/>
        <v>130.21</v>
      </c>
      <c r="H118" s="61">
        <f t="shared" si="12"/>
        <v>23.44</v>
      </c>
      <c r="I118" s="62"/>
    </row>
    <row r="119" spans="1:9">
      <c r="A119" s="65"/>
      <c r="B119" s="62" t="s">
        <v>123</v>
      </c>
      <c r="C119" s="57">
        <v>1.67</v>
      </c>
      <c r="D119" s="60" t="s">
        <v>104</v>
      </c>
      <c r="E119" s="61">
        <v>26.59</v>
      </c>
      <c r="F119" s="61">
        <f t="shared" si="10"/>
        <v>4.7862</v>
      </c>
      <c r="G119" s="61">
        <f t="shared" si="11"/>
        <v>44.41</v>
      </c>
      <c r="H119" s="61">
        <f t="shared" si="12"/>
        <v>7.99</v>
      </c>
      <c r="I119" s="62"/>
    </row>
    <row r="120" spans="1:9">
      <c r="A120" s="65"/>
      <c r="B120" s="62" t="s">
        <v>124</v>
      </c>
      <c r="C120" s="57">
        <v>0.22</v>
      </c>
      <c r="D120" s="60" t="s">
        <v>104</v>
      </c>
      <c r="E120" s="61">
        <v>247</v>
      </c>
      <c r="F120" s="61">
        <f t="shared" si="10"/>
        <v>44.46</v>
      </c>
      <c r="G120" s="61">
        <f t="shared" si="11"/>
        <v>54.34</v>
      </c>
      <c r="H120" s="61">
        <f t="shared" si="12"/>
        <v>9.7799999999999994</v>
      </c>
      <c r="I120" s="62"/>
    </row>
    <row r="121" spans="1:9">
      <c r="A121" s="65"/>
      <c r="B121" s="62" t="s">
        <v>125</v>
      </c>
      <c r="C121" s="57">
        <v>0.4</v>
      </c>
      <c r="D121" s="60" t="s">
        <v>104</v>
      </c>
      <c r="E121" s="61">
        <v>105</v>
      </c>
      <c r="F121" s="61">
        <f t="shared" si="10"/>
        <v>18.899999999999999</v>
      </c>
      <c r="G121" s="61">
        <f t="shared" si="11"/>
        <v>42</v>
      </c>
      <c r="H121" s="61">
        <f t="shared" si="12"/>
        <v>7.56</v>
      </c>
      <c r="I121" s="62"/>
    </row>
    <row r="122" spans="1:9">
      <c r="A122" s="65"/>
      <c r="B122" s="72" t="s">
        <v>126</v>
      </c>
      <c r="C122" s="57">
        <v>2</v>
      </c>
      <c r="D122" s="60" t="s">
        <v>104</v>
      </c>
      <c r="E122" s="61">
        <v>9</v>
      </c>
      <c r="F122" s="61">
        <f t="shared" si="10"/>
        <v>1.6199999999999999</v>
      </c>
      <c r="G122" s="61">
        <f t="shared" si="11"/>
        <v>18</v>
      </c>
      <c r="H122" s="61">
        <f t="shared" si="12"/>
        <v>3.24</v>
      </c>
      <c r="I122" s="62"/>
    </row>
    <row r="123" spans="1:9">
      <c r="A123" s="65"/>
      <c r="B123" s="72" t="s">
        <v>127</v>
      </c>
      <c r="C123" s="57">
        <v>2</v>
      </c>
      <c r="D123" s="60" t="s">
        <v>104</v>
      </c>
      <c r="E123" s="61">
        <v>3.25</v>
      </c>
      <c r="F123" s="61">
        <f t="shared" si="10"/>
        <v>0.58499999999999996</v>
      </c>
      <c r="G123" s="61">
        <f t="shared" si="11"/>
        <v>6.5</v>
      </c>
      <c r="H123" s="61">
        <f t="shared" si="12"/>
        <v>1.17</v>
      </c>
      <c r="I123" s="62"/>
    </row>
    <row r="124" spans="1:9">
      <c r="A124" s="65"/>
      <c r="B124" s="62" t="s">
        <v>128</v>
      </c>
      <c r="C124" s="57">
        <v>0.04</v>
      </c>
      <c r="D124" s="60" t="s">
        <v>92</v>
      </c>
      <c r="E124" s="61">
        <v>50</v>
      </c>
      <c r="F124" s="61">
        <f t="shared" si="10"/>
        <v>9</v>
      </c>
      <c r="G124" s="61">
        <f t="shared" si="11"/>
        <v>2</v>
      </c>
      <c r="H124" s="61">
        <f t="shared" si="12"/>
        <v>0.36</v>
      </c>
      <c r="I124" s="62"/>
    </row>
    <row r="125" spans="1:9">
      <c r="A125" s="65"/>
      <c r="B125" s="62" t="s">
        <v>129</v>
      </c>
      <c r="C125" s="57">
        <v>0.08</v>
      </c>
      <c r="D125" s="60" t="s">
        <v>130</v>
      </c>
      <c r="E125" s="61">
        <v>55</v>
      </c>
      <c r="F125" s="61">
        <f t="shared" si="10"/>
        <v>9.9</v>
      </c>
      <c r="G125" s="61">
        <f t="shared" si="11"/>
        <v>4.4000000000000004</v>
      </c>
      <c r="H125" s="61">
        <f t="shared" si="12"/>
        <v>0.79</v>
      </c>
      <c r="I125" s="62"/>
    </row>
    <row r="126" spans="1:9">
      <c r="A126" s="65"/>
      <c r="B126" s="62"/>
      <c r="C126" s="57"/>
      <c r="D126" s="60"/>
      <c r="E126" s="61"/>
      <c r="F126" s="61"/>
      <c r="G126" s="61"/>
      <c r="H126" s="61"/>
      <c r="I126" s="62"/>
    </row>
    <row r="127" spans="1:9">
      <c r="A127" s="64"/>
      <c r="B127" s="53" t="s">
        <v>131</v>
      </c>
      <c r="C127" s="57"/>
      <c r="D127" s="57"/>
      <c r="E127" s="55"/>
      <c r="F127" s="55"/>
      <c r="G127" s="55"/>
      <c r="H127" s="55"/>
      <c r="I127" s="56"/>
    </row>
    <row r="128" spans="1:9">
      <c r="A128" s="64"/>
      <c r="B128" s="73" t="s">
        <v>132</v>
      </c>
      <c r="C128" s="57">
        <v>1</v>
      </c>
      <c r="D128" s="57" t="s">
        <v>94</v>
      </c>
      <c r="E128" s="61">
        <v>400</v>
      </c>
      <c r="F128" s="61"/>
      <c r="G128" s="61">
        <f>ROUND((C128*(E128)),2)</f>
        <v>400</v>
      </c>
      <c r="H128" s="61">
        <f>ROUND((C128*(F128)),2)</f>
        <v>0</v>
      </c>
      <c r="I128" s="56"/>
    </row>
    <row r="129" spans="1:9">
      <c r="A129" s="64"/>
      <c r="B129" s="73" t="s">
        <v>133</v>
      </c>
      <c r="C129" s="57">
        <v>1</v>
      </c>
      <c r="D129" s="57" t="s">
        <v>73</v>
      </c>
      <c r="E129" s="61">
        <v>15</v>
      </c>
      <c r="F129" s="61"/>
      <c r="G129" s="61">
        <f>ROUND((C129*(E129)),2)</f>
        <v>15</v>
      </c>
      <c r="H129" s="61">
        <f>ROUND((C129*(F129)),2)</f>
        <v>0</v>
      </c>
      <c r="I129" s="56"/>
    </row>
    <row r="130" spans="1:9">
      <c r="A130" s="74"/>
      <c r="B130" s="58" t="s">
        <v>80</v>
      </c>
      <c r="C130" s="57"/>
      <c r="D130" s="57"/>
      <c r="E130" s="61"/>
      <c r="F130" s="61"/>
      <c r="G130" s="61">
        <f>SUM(G117:G129)</f>
        <v>1214.3400000000001</v>
      </c>
      <c r="H130" s="61">
        <f>SUM(H117:H129)</f>
        <v>143.88</v>
      </c>
      <c r="I130" s="61">
        <f>SUM(G130:H130)</f>
        <v>1358.2200000000003</v>
      </c>
    </row>
    <row r="131" spans="1:9">
      <c r="A131" s="74"/>
      <c r="B131" s="58"/>
      <c r="C131" s="57"/>
      <c r="D131" s="57"/>
      <c r="E131" s="61"/>
      <c r="F131" s="61"/>
      <c r="G131" s="61"/>
      <c r="H131" s="61"/>
      <c r="I131" s="61"/>
    </row>
    <row r="132" spans="1:9" ht="24.75">
      <c r="A132" s="63"/>
      <c r="B132" s="49" t="s">
        <v>134</v>
      </c>
      <c r="C132" s="50">
        <v>1</v>
      </c>
      <c r="D132" s="50" t="s">
        <v>94</v>
      </c>
      <c r="E132" s="51"/>
      <c r="F132" s="51"/>
      <c r="G132" s="51">
        <f>+G149/C134</f>
        <v>1809.71</v>
      </c>
      <c r="H132" s="51">
        <f>+H149/C134</f>
        <v>247.30999999999997</v>
      </c>
      <c r="I132" s="52">
        <f>+H132+G132</f>
        <v>2057.02</v>
      </c>
    </row>
    <row r="133" spans="1:9">
      <c r="A133" s="64"/>
      <c r="B133" s="53"/>
      <c r="C133" s="54"/>
      <c r="D133" s="54"/>
      <c r="E133" s="55"/>
      <c r="F133" s="55"/>
      <c r="G133" s="55"/>
      <c r="H133" s="55"/>
      <c r="I133" s="56"/>
    </row>
    <row r="134" spans="1:9">
      <c r="A134" s="64"/>
      <c r="B134" s="53" t="s">
        <v>83</v>
      </c>
      <c r="C134" s="57">
        <v>1</v>
      </c>
      <c r="D134" s="57" t="s">
        <v>94</v>
      </c>
      <c r="E134" s="55"/>
      <c r="F134" s="55"/>
      <c r="G134" s="55"/>
      <c r="H134" s="55"/>
      <c r="I134" s="56"/>
    </row>
    <row r="135" spans="1:9">
      <c r="A135" s="64"/>
      <c r="B135" s="53" t="s">
        <v>84</v>
      </c>
      <c r="C135" s="57"/>
      <c r="D135" s="57"/>
      <c r="E135" s="55"/>
      <c r="F135" s="55"/>
      <c r="G135" s="55"/>
      <c r="H135" s="55"/>
      <c r="I135" s="56"/>
    </row>
    <row r="136" spans="1:9" ht="24.75" customHeight="1">
      <c r="A136" s="65"/>
      <c r="B136" s="107" t="s">
        <v>135</v>
      </c>
      <c r="C136" s="83">
        <v>3.7</v>
      </c>
      <c r="D136" s="89" t="s">
        <v>104</v>
      </c>
      <c r="E136" s="90">
        <v>141.52000000000001</v>
      </c>
      <c r="F136" s="90">
        <f t="shared" ref="F136:F141" si="13">E136*0.18</f>
        <v>25.473600000000001</v>
      </c>
      <c r="G136" s="90">
        <f t="shared" ref="G136:G141" si="14">ROUND((C136*(E136)),2)</f>
        <v>523.62</v>
      </c>
      <c r="H136" s="90">
        <f t="shared" ref="H136:H141" si="15">ROUND((C136*(F136)),2)</f>
        <v>94.25</v>
      </c>
      <c r="I136" s="62"/>
    </row>
    <row r="137" spans="1:9">
      <c r="A137" s="65"/>
      <c r="B137" s="62" t="s">
        <v>136</v>
      </c>
      <c r="C137" s="57">
        <v>1.33</v>
      </c>
      <c r="D137" s="60" t="s">
        <v>104</v>
      </c>
      <c r="E137" s="61">
        <v>300</v>
      </c>
      <c r="F137" s="61">
        <f t="shared" si="13"/>
        <v>54</v>
      </c>
      <c r="G137" s="61">
        <f t="shared" si="14"/>
        <v>399</v>
      </c>
      <c r="H137" s="61">
        <f t="shared" si="15"/>
        <v>71.819999999999993</v>
      </c>
      <c r="I137" s="62"/>
    </row>
    <row r="138" spans="1:9">
      <c r="A138" s="65"/>
      <c r="B138" s="72" t="s">
        <v>126</v>
      </c>
      <c r="C138" s="57">
        <v>15</v>
      </c>
      <c r="D138" s="60" t="s">
        <v>104</v>
      </c>
      <c r="E138" s="61">
        <v>9</v>
      </c>
      <c r="F138" s="61">
        <f t="shared" si="13"/>
        <v>1.6199999999999999</v>
      </c>
      <c r="G138" s="61">
        <f t="shared" si="14"/>
        <v>135</v>
      </c>
      <c r="H138" s="61">
        <f t="shared" si="15"/>
        <v>24.3</v>
      </c>
      <c r="I138" s="62"/>
    </row>
    <row r="139" spans="1:9">
      <c r="A139" s="65"/>
      <c r="B139" s="72" t="s">
        <v>127</v>
      </c>
      <c r="C139" s="57">
        <v>2</v>
      </c>
      <c r="D139" s="60" t="s">
        <v>104</v>
      </c>
      <c r="E139" s="61">
        <v>3.25</v>
      </c>
      <c r="F139" s="61">
        <f t="shared" si="13"/>
        <v>0.58499999999999996</v>
      </c>
      <c r="G139" s="61">
        <f t="shared" si="14"/>
        <v>6.5</v>
      </c>
      <c r="H139" s="61">
        <f t="shared" si="15"/>
        <v>1.17</v>
      </c>
      <c r="I139" s="62"/>
    </row>
    <row r="140" spans="1:9">
      <c r="A140" s="65"/>
      <c r="B140" s="72" t="s">
        <v>137</v>
      </c>
      <c r="C140" s="57">
        <v>1.67</v>
      </c>
      <c r="D140" s="60" t="s">
        <v>104</v>
      </c>
      <c r="E140" s="61">
        <v>182.9</v>
      </c>
      <c r="F140" s="61">
        <f t="shared" si="13"/>
        <v>32.921999999999997</v>
      </c>
      <c r="G140" s="61">
        <f t="shared" si="14"/>
        <v>305.44</v>
      </c>
      <c r="H140" s="61">
        <f t="shared" si="15"/>
        <v>54.98</v>
      </c>
      <c r="I140" s="62"/>
    </row>
    <row r="141" spans="1:9">
      <c r="A141" s="65"/>
      <c r="B141" s="62" t="s">
        <v>129</v>
      </c>
      <c r="C141" s="57">
        <v>0.08</v>
      </c>
      <c r="D141" s="60" t="s">
        <v>130</v>
      </c>
      <c r="E141" s="61">
        <v>55</v>
      </c>
      <c r="F141" s="61">
        <f t="shared" si="13"/>
        <v>9.9</v>
      </c>
      <c r="G141" s="61">
        <f t="shared" si="14"/>
        <v>4.4000000000000004</v>
      </c>
      <c r="H141" s="61">
        <f t="shared" si="15"/>
        <v>0.79</v>
      </c>
      <c r="I141" s="62"/>
    </row>
    <row r="142" spans="1:9">
      <c r="A142" s="65"/>
      <c r="B142" s="62"/>
      <c r="C142" s="57"/>
      <c r="D142" s="60"/>
      <c r="E142" s="61"/>
      <c r="F142" s="61"/>
      <c r="G142" s="61"/>
      <c r="H142" s="61"/>
      <c r="I142" s="62"/>
    </row>
    <row r="143" spans="1:9">
      <c r="A143" s="64"/>
      <c r="B143" s="53" t="s">
        <v>131</v>
      </c>
      <c r="C143" s="57"/>
      <c r="D143" s="57"/>
      <c r="E143" s="55"/>
      <c r="F143" s="55"/>
      <c r="G143" s="55"/>
      <c r="H143" s="55"/>
      <c r="I143" s="56"/>
    </row>
    <row r="144" spans="1:9">
      <c r="A144" s="64"/>
      <c r="B144" s="73" t="s">
        <v>132</v>
      </c>
      <c r="C144" s="57">
        <v>1</v>
      </c>
      <c r="D144" s="57" t="s">
        <v>94</v>
      </c>
      <c r="E144" s="61">
        <v>400</v>
      </c>
      <c r="F144" s="61"/>
      <c r="G144" s="61">
        <f>ROUND((C144*(E144)),2)</f>
        <v>400</v>
      </c>
      <c r="H144" s="61">
        <f>ROUND((C144*(F144)),2)</f>
        <v>0</v>
      </c>
      <c r="I144" s="56"/>
    </row>
    <row r="145" spans="1:9">
      <c r="A145" s="64"/>
      <c r="B145" s="73" t="s">
        <v>133</v>
      </c>
      <c r="C145" s="57">
        <v>1</v>
      </c>
      <c r="D145" s="57" t="s">
        <v>73</v>
      </c>
      <c r="E145" s="61">
        <v>15</v>
      </c>
      <c r="F145" s="61"/>
      <c r="G145" s="61">
        <f>ROUND((C145*(E145)),2)</f>
        <v>15</v>
      </c>
      <c r="H145" s="61">
        <f>ROUND((C145*(F145)),2)</f>
        <v>0</v>
      </c>
      <c r="I145" s="56"/>
    </row>
    <row r="146" spans="1:9">
      <c r="A146" s="64"/>
      <c r="B146" s="73"/>
      <c r="C146" s="57"/>
      <c r="D146" s="57"/>
      <c r="E146" s="61"/>
      <c r="F146" s="61"/>
      <c r="G146" s="61"/>
      <c r="H146" s="61"/>
      <c r="I146" s="56"/>
    </row>
    <row r="147" spans="1:9">
      <c r="A147" s="64"/>
      <c r="B147" s="73" t="s">
        <v>77</v>
      </c>
      <c r="C147" s="57"/>
      <c r="D147" s="57"/>
      <c r="E147" s="61"/>
      <c r="F147" s="61"/>
      <c r="G147" s="61"/>
      <c r="H147" s="61"/>
      <c r="I147" s="56"/>
    </row>
    <row r="148" spans="1:9">
      <c r="A148" s="64"/>
      <c r="B148" s="73" t="s">
        <v>138</v>
      </c>
      <c r="C148" s="57">
        <v>5</v>
      </c>
      <c r="D148" s="57" t="s">
        <v>79</v>
      </c>
      <c r="E148" s="61">
        <f>G144+G145</f>
        <v>415</v>
      </c>
      <c r="F148" s="61"/>
      <c r="G148" s="61">
        <f>C148%*E148</f>
        <v>20.75</v>
      </c>
      <c r="H148" s="61"/>
      <c r="I148" s="56"/>
    </row>
    <row r="149" spans="1:9">
      <c r="A149" s="74"/>
      <c r="B149" s="58" t="s">
        <v>80</v>
      </c>
      <c r="C149" s="57"/>
      <c r="D149" s="57"/>
      <c r="E149" s="61"/>
      <c r="F149" s="61"/>
      <c r="G149" s="61">
        <f>SUM(G136:G148)</f>
        <v>1809.71</v>
      </c>
      <c r="H149" s="61">
        <f>SUM(H136:H145)</f>
        <v>247.30999999999997</v>
      </c>
      <c r="I149" s="61">
        <f>SUM(G149:H149)</f>
        <v>2057.02</v>
      </c>
    </row>
    <row r="151" spans="1:9">
      <c r="A151" s="63">
        <f>+A22+0.01</f>
        <v>0.01</v>
      </c>
      <c r="B151" s="49" t="s">
        <v>139</v>
      </c>
      <c r="C151" s="50">
        <v>1</v>
      </c>
      <c r="D151" s="50" t="s">
        <v>82</v>
      </c>
      <c r="E151" s="51"/>
      <c r="F151" s="51"/>
      <c r="G151" s="51">
        <f>+G168/C153</f>
        <v>2111.7799999999997</v>
      </c>
      <c r="H151" s="51">
        <f>+H168/C153</f>
        <v>317.09999999999991</v>
      </c>
      <c r="I151" s="52">
        <f>+H151+G151</f>
        <v>2428.8799999999997</v>
      </c>
    </row>
    <row r="152" spans="1:9">
      <c r="A152" s="64"/>
      <c r="B152" s="53"/>
      <c r="C152" s="54"/>
      <c r="D152" s="54"/>
      <c r="E152" s="55"/>
      <c r="F152" s="55"/>
      <c r="G152" s="55"/>
      <c r="H152" s="55"/>
      <c r="I152" s="56"/>
    </row>
    <row r="153" spans="1:9">
      <c r="A153" s="64"/>
      <c r="B153" s="53" t="s">
        <v>83</v>
      </c>
      <c r="C153" s="57">
        <v>1</v>
      </c>
      <c r="D153" s="57" t="s">
        <v>22</v>
      </c>
      <c r="E153" s="55"/>
      <c r="F153" s="55"/>
      <c r="G153" s="55"/>
      <c r="H153" s="55"/>
      <c r="I153" s="56"/>
    </row>
    <row r="154" spans="1:9">
      <c r="A154" s="64"/>
      <c r="B154" s="53" t="s">
        <v>84</v>
      </c>
      <c r="C154" s="57"/>
      <c r="D154" s="57"/>
      <c r="E154" s="55"/>
      <c r="F154" s="55"/>
      <c r="G154" s="55"/>
      <c r="H154" s="55"/>
      <c r="I154" s="56"/>
    </row>
    <row r="155" spans="1:9">
      <c r="A155" s="65"/>
      <c r="B155" s="62" t="s">
        <v>140</v>
      </c>
      <c r="C155" s="57">
        <f>12/15.93</f>
        <v>0.75329566854990582</v>
      </c>
      <c r="D155" s="60" t="s">
        <v>104</v>
      </c>
      <c r="E155" s="61">
        <v>1479.94</v>
      </c>
      <c r="F155" s="61">
        <v>266.39</v>
      </c>
      <c r="G155" s="61">
        <f>ROUND((C155*(E155)),2)</f>
        <v>1114.83</v>
      </c>
      <c r="H155" s="61">
        <f>ROUND((C155*(F155)),2)</f>
        <v>200.67</v>
      </c>
      <c r="I155" s="62"/>
    </row>
    <row r="156" spans="1:9">
      <c r="A156" s="65"/>
      <c r="B156" s="62" t="s">
        <v>141</v>
      </c>
      <c r="C156" s="57">
        <f>18/15.93</f>
        <v>1.1299435028248588</v>
      </c>
      <c r="D156" s="60" t="s">
        <v>104</v>
      </c>
      <c r="E156" s="61">
        <v>180.3</v>
      </c>
      <c r="F156" s="61">
        <v>32.450000000000003</v>
      </c>
      <c r="G156" s="61">
        <f>ROUND((C156*(E156)),2)</f>
        <v>203.73</v>
      </c>
      <c r="H156" s="61">
        <f>ROUND((C156*(F156)),2)</f>
        <v>36.67</v>
      </c>
      <c r="I156" s="62"/>
    </row>
    <row r="157" spans="1:9">
      <c r="A157" s="65"/>
      <c r="B157" s="62" t="s">
        <v>142</v>
      </c>
      <c r="C157" s="57">
        <f>6/5.93</f>
        <v>1.0118043844856661</v>
      </c>
      <c r="D157" s="60" t="s">
        <v>104</v>
      </c>
      <c r="E157" s="61">
        <v>155.93</v>
      </c>
      <c r="F157" s="61">
        <v>28.07</v>
      </c>
      <c r="G157" s="61">
        <f>ROUND((C157*(E157)),2)</f>
        <v>157.77000000000001</v>
      </c>
      <c r="H157" s="61">
        <f>ROUND((C157*(F157)),2)</f>
        <v>28.4</v>
      </c>
      <c r="I157" s="62"/>
    </row>
    <row r="158" spans="1:9">
      <c r="A158" s="65"/>
      <c r="B158" s="62" t="s">
        <v>143</v>
      </c>
      <c r="C158" s="57">
        <f>1/15.93</f>
        <v>6.2774639045825489E-2</v>
      </c>
      <c r="D158" s="60" t="s">
        <v>104</v>
      </c>
      <c r="E158" s="61">
        <v>282.63</v>
      </c>
      <c r="F158" s="61">
        <v>50.87</v>
      </c>
      <c r="G158" s="61">
        <f>ROUND((C158*(E158)),2)</f>
        <v>17.739999999999998</v>
      </c>
      <c r="H158" s="61">
        <f>ROUND((C158*(F158)),2)</f>
        <v>3.19</v>
      </c>
      <c r="I158" s="62"/>
    </row>
    <row r="159" spans="1:9">
      <c r="A159" s="65"/>
      <c r="B159" s="62" t="s">
        <v>144</v>
      </c>
      <c r="C159" s="57">
        <f>2/15.93</f>
        <v>0.12554927809165098</v>
      </c>
      <c r="D159" s="60" t="s">
        <v>104</v>
      </c>
      <c r="E159" s="61">
        <v>313.56</v>
      </c>
      <c r="F159" s="61">
        <v>56.44</v>
      </c>
      <c r="G159" s="61">
        <f t="shared" ref="G159:G164" si="16">ROUND((C159*(E159)),2)</f>
        <v>39.369999999999997</v>
      </c>
      <c r="H159" s="61">
        <f t="shared" ref="H159:H164" si="17">ROUND((C159*(F159)),2)</f>
        <v>7.09</v>
      </c>
      <c r="I159" s="62"/>
    </row>
    <row r="160" spans="1:9">
      <c r="A160" s="65"/>
      <c r="B160" s="72" t="s">
        <v>145</v>
      </c>
      <c r="C160" s="57">
        <f>1/15.93</f>
        <v>6.2774639045825489E-2</v>
      </c>
      <c r="D160" s="60" t="s">
        <v>104</v>
      </c>
      <c r="E160" s="61">
        <v>378.68</v>
      </c>
      <c r="F160" s="61">
        <v>68.16</v>
      </c>
      <c r="G160" s="61">
        <f t="shared" si="16"/>
        <v>23.77</v>
      </c>
      <c r="H160" s="61">
        <f t="shared" si="17"/>
        <v>4.28</v>
      </c>
      <c r="I160" s="62"/>
    </row>
    <row r="161" spans="1:9">
      <c r="A161" s="65"/>
      <c r="B161" s="72" t="s">
        <v>127</v>
      </c>
      <c r="C161" s="57">
        <f>1/15.93</f>
        <v>6.2774639045825489E-2</v>
      </c>
      <c r="D161" s="60" t="s">
        <v>104</v>
      </c>
      <c r="E161" s="61">
        <v>622.21</v>
      </c>
      <c r="F161" s="61">
        <v>112</v>
      </c>
      <c r="G161" s="61">
        <f t="shared" si="16"/>
        <v>39.06</v>
      </c>
      <c r="H161" s="61">
        <f t="shared" si="17"/>
        <v>7.03</v>
      </c>
      <c r="I161" s="62"/>
    </row>
    <row r="162" spans="1:9">
      <c r="A162" s="65"/>
      <c r="B162" s="62" t="s">
        <v>146</v>
      </c>
      <c r="C162" s="57">
        <f>2/15.93</f>
        <v>0.12554927809165098</v>
      </c>
      <c r="D162" s="60" t="s">
        <v>92</v>
      </c>
      <c r="E162" s="61">
        <v>155.93</v>
      </c>
      <c r="F162" s="61">
        <v>28.07</v>
      </c>
      <c r="G162" s="61">
        <f t="shared" si="16"/>
        <v>19.579999999999998</v>
      </c>
      <c r="H162" s="61">
        <f t="shared" si="17"/>
        <v>3.52</v>
      </c>
      <c r="I162" s="62"/>
    </row>
    <row r="163" spans="1:9">
      <c r="A163" s="65"/>
      <c r="B163" s="62" t="s">
        <v>147</v>
      </c>
      <c r="C163" s="57">
        <f>1/15.93</f>
        <v>6.2774639045825489E-2</v>
      </c>
      <c r="D163" s="60" t="s">
        <v>92</v>
      </c>
      <c r="E163" s="61">
        <v>175.42</v>
      </c>
      <c r="F163" s="61">
        <v>31.58</v>
      </c>
      <c r="G163" s="61">
        <f t="shared" si="16"/>
        <v>11.01</v>
      </c>
      <c r="H163" s="61">
        <f t="shared" si="17"/>
        <v>1.98</v>
      </c>
      <c r="I163" s="62"/>
    </row>
    <row r="164" spans="1:9">
      <c r="A164" s="65"/>
      <c r="B164" s="62" t="s">
        <v>148</v>
      </c>
      <c r="C164" s="57">
        <f>5/15.93</f>
        <v>0.31387319522912743</v>
      </c>
      <c r="D164" s="60" t="s">
        <v>104</v>
      </c>
      <c r="E164" s="61">
        <v>116.95</v>
      </c>
      <c r="F164" s="61">
        <v>21.05</v>
      </c>
      <c r="G164" s="61">
        <f t="shared" si="16"/>
        <v>36.71</v>
      </c>
      <c r="H164" s="61">
        <f t="shared" si="17"/>
        <v>6.61</v>
      </c>
      <c r="I164" s="62"/>
    </row>
    <row r="165" spans="1:9">
      <c r="A165" s="65"/>
      <c r="B165" s="62" t="s">
        <v>149</v>
      </c>
      <c r="C165" s="57">
        <f>16/15.93</f>
        <v>1.0043942247332078</v>
      </c>
      <c r="D165" s="60" t="s">
        <v>104</v>
      </c>
      <c r="E165" s="61">
        <v>97.68</v>
      </c>
      <c r="F165" s="61">
        <v>17.579999999999998</v>
      </c>
      <c r="G165" s="61">
        <f>ROUND((C165*(E165)),2)</f>
        <v>98.11</v>
      </c>
      <c r="H165" s="61">
        <f>ROUND((C165*(F165)),2)</f>
        <v>17.66</v>
      </c>
      <c r="I165" s="62"/>
    </row>
    <row r="166" spans="1:9">
      <c r="A166" s="64"/>
      <c r="B166" s="53" t="s">
        <v>131</v>
      </c>
      <c r="C166" s="57"/>
      <c r="D166" s="57"/>
      <c r="E166" s="55"/>
      <c r="F166" s="55"/>
      <c r="G166" s="55"/>
      <c r="H166" s="55"/>
      <c r="I166" s="56"/>
    </row>
    <row r="167" spans="1:9">
      <c r="A167" s="64"/>
      <c r="B167" s="73" t="s">
        <v>150</v>
      </c>
      <c r="C167" s="57">
        <f>+C153</f>
        <v>1</v>
      </c>
      <c r="D167" s="57" t="s">
        <v>82</v>
      </c>
      <c r="E167" s="61">
        <v>350.1</v>
      </c>
      <c r="F167" s="61">
        <v>0</v>
      </c>
      <c r="G167" s="61">
        <f>ROUND((C167*(E167)),2)</f>
        <v>350.1</v>
      </c>
      <c r="H167" s="61">
        <f>ROUND((C167*(F167)),2)</f>
        <v>0</v>
      </c>
      <c r="I167" s="56"/>
    </row>
    <row r="168" spans="1:9">
      <c r="A168" s="74"/>
      <c r="B168" s="58" t="s">
        <v>80</v>
      </c>
      <c r="C168" s="57"/>
      <c r="D168" s="57"/>
      <c r="E168" s="61"/>
      <c r="F168" s="61"/>
      <c r="G168" s="61">
        <f>SUM(G155:G167)</f>
        <v>2111.7799999999997</v>
      </c>
      <c r="H168" s="61">
        <f>SUM(H155:H167)</f>
        <v>317.09999999999991</v>
      </c>
      <c r="I168" s="61">
        <f>SUM(G168:H168)</f>
        <v>2428.8799999999997</v>
      </c>
    </row>
    <row r="170" spans="1:9">
      <c r="A170" s="63">
        <f>+A86+0.01</f>
        <v>0.01</v>
      </c>
      <c r="B170" s="49" t="s">
        <v>151</v>
      </c>
      <c r="C170" s="50">
        <v>1</v>
      </c>
      <c r="D170" s="50" t="s">
        <v>82</v>
      </c>
      <c r="E170" s="51"/>
      <c r="F170" s="51"/>
      <c r="G170" s="51">
        <f>+G178/C172</f>
        <v>13.52</v>
      </c>
      <c r="H170" s="51">
        <f>+H178/C172</f>
        <v>0.63</v>
      </c>
      <c r="I170" s="52">
        <f>+H170+G170</f>
        <v>14.15</v>
      </c>
    </row>
    <row r="171" spans="1:9">
      <c r="A171" s="64"/>
      <c r="B171" s="53"/>
      <c r="C171" s="54"/>
      <c r="D171" s="54"/>
      <c r="E171" s="55"/>
      <c r="F171" s="55"/>
      <c r="G171" s="55"/>
      <c r="H171" s="55"/>
      <c r="I171" s="56"/>
    </row>
    <row r="172" spans="1:9">
      <c r="A172" s="64"/>
      <c r="B172" s="53" t="s">
        <v>83</v>
      </c>
      <c r="C172" s="57">
        <v>1</v>
      </c>
      <c r="D172" s="57" t="s">
        <v>22</v>
      </c>
      <c r="E172" s="55"/>
      <c r="F172" s="55"/>
      <c r="G172" s="55"/>
      <c r="H172" s="55"/>
      <c r="I172" s="56"/>
    </row>
    <row r="173" spans="1:9">
      <c r="A173" s="64"/>
      <c r="B173" s="53" t="s">
        <v>84</v>
      </c>
      <c r="C173" s="57"/>
      <c r="D173" s="57"/>
      <c r="E173" s="55"/>
      <c r="F173" s="55"/>
      <c r="G173" s="55"/>
      <c r="H173" s="55"/>
      <c r="I173" s="56"/>
    </row>
    <row r="174" spans="1:9">
      <c r="A174" s="65"/>
      <c r="B174" s="62" t="s">
        <v>152</v>
      </c>
      <c r="C174" s="57">
        <v>0.1</v>
      </c>
      <c r="D174" s="60" t="s">
        <v>104</v>
      </c>
      <c r="E174" s="61">
        <f>41.48/1.18</f>
        <v>35.152542372881356</v>
      </c>
      <c r="F174" s="61">
        <f>E174*0.18</f>
        <v>6.327457627118644</v>
      </c>
      <c r="G174" s="61">
        <f>ROUND((C174*(E174)),2)</f>
        <v>3.52</v>
      </c>
      <c r="H174" s="61">
        <f>ROUND((C174*(F174)),2)</f>
        <v>0.63</v>
      </c>
      <c r="I174" s="62"/>
    </row>
    <row r="175" spans="1:9">
      <c r="A175" s="65"/>
      <c r="B175" s="62"/>
      <c r="C175" s="57"/>
      <c r="D175" s="60"/>
      <c r="E175" s="61"/>
      <c r="F175" s="61"/>
      <c r="G175" s="61"/>
      <c r="H175" s="61"/>
      <c r="I175" s="62"/>
    </row>
    <row r="176" spans="1:9">
      <c r="A176" s="64"/>
      <c r="B176" s="53" t="s">
        <v>131</v>
      </c>
      <c r="C176" s="57"/>
      <c r="D176" s="57"/>
      <c r="E176" s="55"/>
      <c r="F176" s="55"/>
      <c r="G176" s="55"/>
      <c r="H176" s="55"/>
      <c r="I176" s="56"/>
    </row>
    <row r="177" spans="1:9">
      <c r="A177" s="64"/>
      <c r="B177" s="73" t="s">
        <v>153</v>
      </c>
      <c r="C177" s="57">
        <f>+C172</f>
        <v>1</v>
      </c>
      <c r="D177" s="57" t="s">
        <v>82</v>
      </c>
      <c r="E177" s="61">
        <v>10</v>
      </c>
      <c r="F177" s="61">
        <v>0</v>
      </c>
      <c r="G177" s="61">
        <f>ROUND((C177*(E177)),2)</f>
        <v>10</v>
      </c>
      <c r="H177" s="61">
        <f>ROUND((C177*(F177)),2)</f>
        <v>0</v>
      </c>
      <c r="I177" s="56"/>
    </row>
    <row r="178" spans="1:9">
      <c r="A178" s="74"/>
      <c r="B178" s="58" t="s">
        <v>80</v>
      </c>
      <c r="C178" s="57"/>
      <c r="D178" s="57"/>
      <c r="E178" s="61"/>
      <c r="F178" s="61"/>
      <c r="G178" s="61">
        <f>SUM(G174:G177)</f>
        <v>13.52</v>
      </c>
      <c r="H178" s="61">
        <f>SUM(H174:H177)</f>
        <v>0.63</v>
      </c>
      <c r="I178" s="61">
        <f>SUM(G178:H178)</f>
        <v>14.15</v>
      </c>
    </row>
    <row r="180" spans="1:9">
      <c r="A180" s="63">
        <f>+A51+0.01</f>
        <v>0.01</v>
      </c>
      <c r="B180" s="49" t="s">
        <v>154</v>
      </c>
      <c r="C180" s="50">
        <v>1</v>
      </c>
      <c r="D180" s="50" t="s">
        <v>104</v>
      </c>
      <c r="E180" s="51"/>
      <c r="F180" s="51"/>
      <c r="G180" s="51">
        <f>+G192/C182</f>
        <v>10541.060000000001</v>
      </c>
      <c r="H180" s="51">
        <f>+H192/C182</f>
        <v>1317.7199999999998</v>
      </c>
      <c r="I180" s="52">
        <f>+H180+G180</f>
        <v>11858.78</v>
      </c>
    </row>
    <row r="181" spans="1:9">
      <c r="A181" s="64"/>
      <c r="B181" s="53"/>
      <c r="C181" s="54"/>
      <c r="D181" s="54"/>
      <c r="E181" s="55"/>
      <c r="F181" s="55"/>
      <c r="G181" s="55"/>
      <c r="H181" s="55"/>
      <c r="I181" s="56"/>
    </row>
    <row r="182" spans="1:9">
      <c r="A182" s="64"/>
      <c r="B182" s="53" t="s">
        <v>83</v>
      </c>
      <c r="C182" s="57">
        <v>1</v>
      </c>
      <c r="D182" s="57" t="s">
        <v>104</v>
      </c>
      <c r="E182" s="55"/>
      <c r="F182" s="55"/>
      <c r="G182" s="55"/>
      <c r="H182" s="55"/>
      <c r="I182" s="56"/>
    </row>
    <row r="183" spans="1:9">
      <c r="A183" s="64"/>
      <c r="B183" s="53" t="s">
        <v>84</v>
      </c>
      <c r="C183" s="57"/>
      <c r="D183" s="57"/>
      <c r="E183" s="55"/>
      <c r="F183" s="55"/>
      <c r="G183" s="55"/>
      <c r="H183" s="55"/>
      <c r="I183" s="56"/>
    </row>
    <row r="184" spans="1:9">
      <c r="A184" s="65"/>
      <c r="B184" s="62" t="s">
        <v>155</v>
      </c>
      <c r="C184" s="57">
        <v>1</v>
      </c>
      <c r="D184" s="60" t="s">
        <v>104</v>
      </c>
      <c r="E184" s="61">
        <v>200</v>
      </c>
      <c r="F184" s="61">
        <f>E184*0.18</f>
        <v>36</v>
      </c>
      <c r="G184" s="61">
        <f>ROUND((C184*(E184)),2)</f>
        <v>200</v>
      </c>
      <c r="H184" s="61">
        <f>ROUND((C184*(F184)),2)</f>
        <v>36</v>
      </c>
      <c r="I184" s="62"/>
    </row>
    <row r="185" spans="1:9">
      <c r="A185" s="65"/>
      <c r="B185" s="62" t="s">
        <v>156</v>
      </c>
      <c r="C185" s="57">
        <v>4</v>
      </c>
      <c r="D185" s="60" t="s">
        <v>104</v>
      </c>
      <c r="E185" s="61">
        <v>1098</v>
      </c>
      <c r="F185" s="61">
        <f>E185*0.18</f>
        <v>197.64</v>
      </c>
      <c r="G185" s="61">
        <f>ROUND((C185*(E185)),2)</f>
        <v>4392</v>
      </c>
      <c r="H185" s="61">
        <f>ROUND((C185*(F185)),2)</f>
        <v>790.56</v>
      </c>
      <c r="I185" s="62"/>
    </row>
    <row r="186" spans="1:9">
      <c r="A186" s="65"/>
      <c r="B186" s="62" t="s">
        <v>157</v>
      </c>
      <c r="C186" s="57">
        <v>4</v>
      </c>
      <c r="D186" s="60" t="s">
        <v>104</v>
      </c>
      <c r="E186" s="61">
        <v>43</v>
      </c>
      <c r="F186" s="61">
        <f>E186*0.18</f>
        <v>7.7399999999999993</v>
      </c>
      <c r="G186" s="61">
        <f>ROUND((C186*(E186)),2)</f>
        <v>172</v>
      </c>
      <c r="H186" s="61">
        <f>ROUND((C186*(F186)),2)</f>
        <v>30.96</v>
      </c>
      <c r="I186" s="62"/>
    </row>
    <row r="187" spans="1:9">
      <c r="A187" s="65"/>
      <c r="B187" s="62" t="s">
        <v>149</v>
      </c>
      <c r="C187" s="57">
        <v>4</v>
      </c>
      <c r="D187" s="60" t="s">
        <v>104</v>
      </c>
      <c r="E187" s="61">
        <v>97.68</v>
      </c>
      <c r="F187" s="61">
        <v>17.579999999999998</v>
      </c>
      <c r="G187" s="61">
        <f>ROUND((C187*(E187)),2)</f>
        <v>390.72</v>
      </c>
      <c r="H187" s="61">
        <f>ROUND((C187*(F187)),2)</f>
        <v>70.319999999999993</v>
      </c>
      <c r="I187" s="62"/>
    </row>
    <row r="188" spans="1:9">
      <c r="A188" s="65"/>
      <c r="B188" s="62" t="s">
        <v>158</v>
      </c>
      <c r="C188" s="57">
        <v>2</v>
      </c>
      <c r="D188" s="60" t="s">
        <v>104</v>
      </c>
      <c r="E188" s="61">
        <v>2193.17</v>
      </c>
      <c r="F188" s="61">
        <v>194.94</v>
      </c>
      <c r="G188" s="61">
        <f>ROUND((C188*(E188)),2)</f>
        <v>4386.34</v>
      </c>
      <c r="H188" s="61">
        <f>ROUND((C188*(F188)),2)</f>
        <v>389.88</v>
      </c>
      <c r="I188" s="62"/>
    </row>
    <row r="189" spans="1:9">
      <c r="A189" s="65"/>
      <c r="B189" s="62"/>
      <c r="C189" s="57"/>
      <c r="D189" s="60"/>
      <c r="E189" s="61"/>
      <c r="F189" s="61"/>
      <c r="G189" s="61"/>
      <c r="H189" s="61"/>
      <c r="I189" s="62"/>
    </row>
    <row r="190" spans="1:9">
      <c r="A190" s="64"/>
      <c r="B190" s="53" t="s">
        <v>131</v>
      </c>
      <c r="C190" s="57"/>
      <c r="D190" s="57"/>
      <c r="E190" s="55"/>
      <c r="F190" s="55"/>
      <c r="G190" s="55"/>
      <c r="H190" s="55"/>
      <c r="I190" s="56"/>
    </row>
    <row r="191" spans="1:9">
      <c r="A191" s="64"/>
      <c r="B191" s="73" t="s">
        <v>159</v>
      </c>
      <c r="C191" s="57">
        <f>+C182</f>
        <v>1</v>
      </c>
      <c r="D191" s="57" t="s">
        <v>104</v>
      </c>
      <c r="E191" s="61">
        <v>1000</v>
      </c>
      <c r="F191" s="61">
        <v>0</v>
      </c>
      <c r="G191" s="61">
        <f>ROUND((C191*(E191)),2)</f>
        <v>1000</v>
      </c>
      <c r="H191" s="61">
        <f>ROUND((C191*(F191)),2)</f>
        <v>0</v>
      </c>
      <c r="I191" s="56"/>
    </row>
    <row r="192" spans="1:9">
      <c r="A192" s="74"/>
      <c r="B192" s="58" t="s">
        <v>80</v>
      </c>
      <c r="C192" s="57"/>
      <c r="D192" s="57"/>
      <c r="E192" s="61"/>
      <c r="F192" s="61"/>
      <c r="G192" s="61">
        <f>SUM(G184:G191)</f>
        <v>10541.060000000001</v>
      </c>
      <c r="H192" s="61">
        <f>SUM(H184:H191)</f>
        <v>1317.7199999999998</v>
      </c>
      <c r="I192" s="61">
        <f>SUM(G192:H192)</f>
        <v>11858.78</v>
      </c>
    </row>
    <row r="194" spans="1:9">
      <c r="A194" s="63">
        <f>+A183+0.01</f>
        <v>0.01</v>
      </c>
      <c r="B194" s="49" t="s">
        <v>160</v>
      </c>
      <c r="C194" s="50">
        <v>1</v>
      </c>
      <c r="D194" s="50" t="s">
        <v>94</v>
      </c>
      <c r="E194" s="51"/>
      <c r="F194" s="51"/>
      <c r="G194" s="51">
        <f>+G202/C196</f>
        <v>206.05</v>
      </c>
      <c r="H194" s="51">
        <f>+H202/C196</f>
        <v>21.08</v>
      </c>
      <c r="I194" s="52">
        <f>+H194+G194</f>
        <v>227.13</v>
      </c>
    </row>
    <row r="195" spans="1:9">
      <c r="A195" s="64"/>
      <c r="B195" s="58"/>
      <c r="C195" s="54"/>
      <c r="D195" s="54"/>
      <c r="E195" s="55"/>
      <c r="F195" s="55"/>
      <c r="G195" s="55"/>
      <c r="H195" s="55"/>
      <c r="I195" s="56"/>
    </row>
    <row r="196" spans="1:9">
      <c r="A196" s="64"/>
      <c r="B196" s="53" t="s">
        <v>83</v>
      </c>
      <c r="C196" s="57">
        <v>1</v>
      </c>
      <c r="D196" s="57" t="s">
        <v>94</v>
      </c>
      <c r="E196" s="55"/>
      <c r="F196" s="55"/>
      <c r="G196" s="55"/>
      <c r="H196" s="55"/>
      <c r="I196" s="56"/>
    </row>
    <row r="197" spans="1:9">
      <c r="A197" s="74"/>
      <c r="B197" s="53" t="s">
        <v>84</v>
      </c>
      <c r="C197" s="57"/>
      <c r="D197" s="57"/>
      <c r="E197" s="61"/>
      <c r="F197" s="61"/>
      <c r="G197" s="61"/>
      <c r="H197" s="61"/>
      <c r="I197" s="61"/>
    </row>
    <row r="198" spans="1:9">
      <c r="A198" s="74"/>
      <c r="B198" s="142" t="s">
        <v>161</v>
      </c>
      <c r="C198" s="57">
        <v>0.08</v>
      </c>
      <c r="D198" s="57" t="s">
        <v>162</v>
      </c>
      <c r="E198" s="61">
        <v>1463.56</v>
      </c>
      <c r="F198" s="61">
        <f>E198*0.18</f>
        <v>263.44079999999997</v>
      </c>
      <c r="G198" s="61">
        <f>ROUND((C198*(E198)),2)</f>
        <v>117.08</v>
      </c>
      <c r="H198" s="61">
        <f>ROUND((C198*(F198)),2)</f>
        <v>21.08</v>
      </c>
      <c r="I198" s="61"/>
    </row>
    <row r="199" spans="1:9">
      <c r="A199" s="74"/>
      <c r="B199" s="53" t="s">
        <v>163</v>
      </c>
      <c r="C199" s="57"/>
      <c r="D199" s="57"/>
      <c r="E199" s="61"/>
      <c r="F199" s="61"/>
      <c r="G199" s="61"/>
      <c r="H199" s="61"/>
      <c r="I199" s="61"/>
    </row>
    <row r="200" spans="1:9">
      <c r="A200" s="74"/>
      <c r="B200" s="142" t="s">
        <v>164</v>
      </c>
      <c r="C200" s="57">
        <f>+C196</f>
        <v>1</v>
      </c>
      <c r="D200" s="57" t="s">
        <v>94</v>
      </c>
      <c r="E200" s="61">
        <v>54.26</v>
      </c>
      <c r="F200" s="61">
        <v>0</v>
      </c>
      <c r="G200" s="61">
        <f>ROUND((C200*(E200)),2)</f>
        <v>54.26</v>
      </c>
      <c r="H200" s="61">
        <f>ROUND((C200*(F200)),2)</f>
        <v>0</v>
      </c>
      <c r="I200" s="61"/>
    </row>
    <row r="201" spans="1:9">
      <c r="A201" s="74"/>
      <c r="B201" s="142" t="s">
        <v>165</v>
      </c>
      <c r="C201" s="57">
        <v>1</v>
      </c>
      <c r="D201" s="57" t="s">
        <v>96</v>
      </c>
      <c r="E201" s="61">
        <v>34.71</v>
      </c>
      <c r="F201" s="61">
        <v>0</v>
      </c>
      <c r="G201" s="61">
        <f>ROUND((C201*(E201)),2)</f>
        <v>34.71</v>
      </c>
      <c r="H201" s="61">
        <v>0</v>
      </c>
      <c r="I201" s="61"/>
    </row>
    <row r="202" spans="1:9">
      <c r="A202" s="74"/>
      <c r="B202" s="58" t="s">
        <v>80</v>
      </c>
      <c r="C202" s="57"/>
      <c r="D202" s="57"/>
      <c r="E202" s="61"/>
      <c r="F202" s="61"/>
      <c r="G202" s="61">
        <f>SUM(G198:G201)</f>
        <v>206.05</v>
      </c>
      <c r="H202" s="61">
        <f>SUM(H198:H201)</f>
        <v>21.08</v>
      </c>
      <c r="I202" s="61">
        <f>SUM(G202:H202)</f>
        <v>227.13</v>
      </c>
    </row>
  </sheetData>
  <pageMargins left="0.7" right="0.7" top="0.75" bottom="0.75" header="0.3" footer="0.3"/>
  <pageSetup orientation="portrait" r:id="rId1"/>
  <ignoredErrors>
    <ignoredError sqref="C159 C16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B6" sqref="B6"/>
    </sheetView>
  </sheetViews>
  <sheetFormatPr defaultColWidth="11.42578125" defaultRowHeight="15"/>
  <cols>
    <col min="1" max="1" width="15.42578125" customWidth="1"/>
  </cols>
  <sheetData>
    <row r="1" spans="1:6">
      <c r="B1" s="87" t="s">
        <v>166</v>
      </c>
      <c r="C1" s="87" t="s">
        <v>167</v>
      </c>
      <c r="D1" s="87" t="s">
        <v>168</v>
      </c>
    </row>
    <row r="2" spans="1:6">
      <c r="A2" t="s">
        <v>169</v>
      </c>
      <c r="B2" s="87">
        <f>(93.04-(1.3*8)-(0.9*2)-(3.4*2)-(4.73*2)-(8.02*2))*2</f>
        <v>97.080000000000027</v>
      </c>
      <c r="C2" s="87">
        <f>(46.52*4)-(20*1.3)-(0.9*6)-(3.3*2)-(3.4*2)-5.4</f>
        <v>135.88</v>
      </c>
      <c r="D2" s="87">
        <f>(46.52*4)-(17*1.3)-(0.9*8)-(3.3*4)-(3.3*2)</f>
        <v>136.98000000000005</v>
      </c>
    </row>
    <row r="3" spans="1:6">
      <c r="B3" s="87">
        <f>(23.9*2)-6-4.4-2.6</f>
        <v>34.799999999999997</v>
      </c>
      <c r="C3" s="87">
        <f>(24.33*4)-2.6-4.4-6-2.6</f>
        <v>81.72</v>
      </c>
      <c r="D3" s="87">
        <f>(24.33*4)-2.6-4.4-6-2.6</f>
        <v>81.72</v>
      </c>
    </row>
    <row r="4" spans="1:6">
      <c r="B4" s="87">
        <f>B2+B3</f>
        <v>131.88000000000002</v>
      </c>
      <c r="C4" s="87">
        <f>C2+C3</f>
        <v>217.6</v>
      </c>
      <c r="D4" s="87">
        <f>D2+D3</f>
        <v>218.70000000000005</v>
      </c>
      <c r="E4">
        <f>D4+C4+B4</f>
        <v>568.18000000000006</v>
      </c>
      <c r="F4">
        <f>E4*1.2</f>
        <v>681.81600000000003</v>
      </c>
    </row>
    <row r="6" spans="1:6">
      <c r="A6" t="s">
        <v>170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DEFD9D45-0E07-4B33-ABAA-DF091656C366}"/>
</file>

<file path=customXml/itemProps2.xml><?xml version="1.0" encoding="utf-8"?>
<ds:datastoreItem xmlns:ds="http://schemas.openxmlformats.org/officeDocument/2006/customXml" ds:itemID="{D04CB7C6-B977-4C23-89BA-0863AE7FDF60}"/>
</file>

<file path=customXml/itemProps3.xml><?xml version="1.0" encoding="utf-8"?>
<ds:datastoreItem xmlns:ds="http://schemas.openxmlformats.org/officeDocument/2006/customXml" ds:itemID="{C4734E59-77F6-4CF9-8943-6EFDBC75F0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2022-10-03T17:11:12Z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