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ozuna\Desktop\2024-002\Lote 1\"/>
    </mc:Choice>
  </mc:AlternateContent>
  <bookViews>
    <workbookView showHorizontalScroll="0" showVerticalScroll="0" showSheetTabs="0" xWindow="0" yWindow="0" windowWidth="38340" windowHeight="17025"/>
  </bookViews>
  <sheets>
    <sheet name="Presupuesto General" sheetId="2" r:id="rId1"/>
    <sheet name="Analisis " sheetId="6" r:id="rId2"/>
  </sheets>
  <externalReferences>
    <externalReference r:id="rId3"/>
  </externalReferences>
  <definedNames>
    <definedName name="_xlnm.Print_Area" localSheetId="0">'Presupuesto General'!$A$1:$G$144</definedName>
    <definedName name="_xlnm.Print_Titles" localSheetId="0">'Presupuesto General'!$1:$13</definedName>
    <definedName name="TUBOPVCSDR41X2">[1]Ins!$E$1437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6" i="2" l="1"/>
  <c r="F66" i="2"/>
  <c r="F58" i="2"/>
  <c r="A98" i="2" l="1"/>
  <c r="A99" i="2" s="1"/>
  <c r="A100" i="2" s="1"/>
  <c r="A107" i="2" s="1"/>
  <c r="A108" i="2" s="1"/>
  <c r="A109" i="2" s="1"/>
  <c r="A110" i="2" s="1"/>
  <c r="A111" i="2" s="1"/>
  <c r="A112" i="2" s="1"/>
  <c r="F86" i="2"/>
  <c r="F87" i="2"/>
  <c r="F88" i="2"/>
  <c r="F89" i="2"/>
  <c r="F90" i="2"/>
  <c r="F57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50" i="2" l="1"/>
  <c r="F51" i="2"/>
  <c r="F81" i="2" l="1"/>
  <c r="F80" i="2"/>
  <c r="F79" i="2"/>
  <c r="A79" i="2"/>
  <c r="A80" i="2" s="1"/>
  <c r="A81" i="2" s="1"/>
  <c r="F75" i="2"/>
  <c r="F74" i="2"/>
  <c r="F73" i="2"/>
  <c r="F72" i="2"/>
  <c r="F71" i="2"/>
  <c r="F70" i="2"/>
  <c r="A70" i="2"/>
  <c r="A71" i="2" s="1"/>
  <c r="A72" i="2" s="1"/>
  <c r="A73" i="2" s="1"/>
  <c r="A74" i="2" s="1"/>
  <c r="A75" i="2" s="1"/>
  <c r="F65" i="2"/>
  <c r="F64" i="2"/>
  <c r="F63" i="2"/>
  <c r="G67" i="2" s="1"/>
  <c r="A63" i="2"/>
  <c r="A64" i="2" s="1"/>
  <c r="A65" i="2" s="1"/>
  <c r="G82" i="2" l="1"/>
  <c r="G76" i="2"/>
  <c r="F56" i="2"/>
  <c r="F55" i="2"/>
  <c r="A55" i="2"/>
  <c r="A56" i="2" s="1"/>
  <c r="A57" i="2" s="1"/>
  <c r="A58" i="2" s="1"/>
  <c r="F49" i="2"/>
  <c r="F48" i="2"/>
  <c r="G52" i="2" s="1"/>
  <c r="A48" i="2"/>
  <c r="A49" i="2" s="1"/>
  <c r="A50" i="2" s="1"/>
  <c r="A51" i="2" s="1"/>
  <c r="G59" i="2" l="1"/>
  <c r="F43" i="2"/>
  <c r="F44" i="2"/>
  <c r="A85" i="2"/>
  <c r="A86" i="2" s="1"/>
  <c r="A87" i="2" s="1"/>
  <c r="A88" i="2" s="1"/>
  <c r="A89" i="2" s="1"/>
  <c r="A90" i="2" s="1"/>
  <c r="A39" i="2"/>
  <c r="A43" i="2"/>
  <c r="G45" i="2" l="1"/>
  <c r="F85" i="2" l="1"/>
  <c r="G91" i="2" s="1"/>
  <c r="F39" i="2"/>
  <c r="G40" i="2" s="1"/>
  <c r="F35" i="2"/>
  <c r="F34" i="2"/>
  <c r="F33" i="2"/>
  <c r="A33" i="2"/>
  <c r="A34" i="2" s="1"/>
  <c r="A35" i="2" s="1"/>
  <c r="A44" i="2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F16" i="2"/>
  <c r="G30" i="2" l="1"/>
  <c r="G36" i="2"/>
  <c r="G93" i="2" l="1"/>
  <c r="F355" i="6"/>
  <c r="F352" i="6"/>
  <c r="F351" i="6"/>
  <c r="F350" i="6"/>
  <c r="F349" i="6"/>
  <c r="C348" i="6"/>
  <c r="E346" i="6"/>
  <c r="F348" i="6"/>
  <c r="F347" i="6"/>
  <c r="F346" i="6"/>
  <c r="F345" i="6"/>
  <c r="F344" i="6"/>
  <c r="A341" i="6"/>
  <c r="F357" i="6"/>
  <c r="F341" i="6"/>
  <c r="F553" i="6"/>
  <c r="F551" i="6"/>
  <c r="F550" i="6"/>
  <c r="F549" i="6"/>
  <c r="F548" i="6"/>
  <c r="F547" i="6"/>
  <c r="F546" i="6"/>
  <c r="F545" i="6"/>
  <c r="C544" i="6"/>
  <c r="F544" i="6"/>
  <c r="C543" i="6"/>
  <c r="F543" i="6"/>
  <c r="C542" i="6"/>
  <c r="F542" i="6"/>
  <c r="A538" i="6"/>
  <c r="F457" i="6"/>
  <c r="F458" i="6"/>
  <c r="F459" i="6"/>
  <c r="F466" i="6"/>
  <c r="F467" i="6"/>
  <c r="F468" i="6"/>
  <c r="F469" i="6"/>
  <c r="F470" i="6"/>
  <c r="C439" i="6"/>
  <c r="F439" i="6"/>
  <c r="F448" i="6"/>
  <c r="F451" i="6"/>
  <c r="F447" i="6"/>
  <c r="F446" i="6"/>
  <c r="F445" i="6"/>
  <c r="F444" i="6"/>
  <c r="F443" i="6"/>
  <c r="F442" i="6"/>
  <c r="F441" i="6"/>
  <c r="C440" i="6"/>
  <c r="F440" i="6"/>
  <c r="C438" i="6"/>
  <c r="F438" i="6"/>
  <c r="A434" i="6"/>
  <c r="F461" i="6"/>
  <c r="F554" i="6"/>
  <c r="F538" i="6"/>
  <c r="F452" i="6"/>
  <c r="F434" i="6"/>
  <c r="F374" i="6"/>
  <c r="F366" i="6"/>
  <c r="F367" i="6"/>
  <c r="F368" i="6"/>
  <c r="F369" i="6"/>
  <c r="F370" i="6"/>
  <c r="F371" i="6"/>
  <c r="F372" i="6"/>
  <c r="C365" i="6"/>
  <c r="F365" i="6"/>
  <c r="C364" i="6"/>
  <c r="F364" i="6"/>
  <c r="C363" i="6"/>
  <c r="F363" i="6"/>
  <c r="A359" i="6"/>
  <c r="F375" i="6"/>
  <c r="F359" i="6"/>
  <c r="C57" i="6"/>
  <c r="F57" i="6"/>
  <c r="F58" i="6"/>
  <c r="E62" i="6"/>
  <c r="F62" i="6"/>
  <c r="F59" i="6"/>
  <c r="F60" i="6"/>
  <c r="F61" i="6"/>
  <c r="F64" i="6"/>
  <c r="F73" i="6"/>
  <c r="F77" i="6"/>
  <c r="F71" i="6"/>
  <c r="F80" i="6"/>
  <c r="F72" i="6"/>
  <c r="E78" i="6"/>
  <c r="F78" i="6"/>
  <c r="F74" i="6"/>
  <c r="F75" i="6"/>
  <c r="F76" i="6"/>
  <c r="F65" i="6"/>
  <c r="F81" i="6"/>
  <c r="F765" i="6"/>
  <c r="F764" i="6"/>
  <c r="F756" i="6"/>
  <c r="F755" i="6"/>
  <c r="F754" i="6"/>
  <c r="F745" i="6"/>
  <c r="F744" i="6"/>
  <c r="F743" i="6"/>
  <c r="F742" i="6"/>
  <c r="F741" i="6"/>
  <c r="F740" i="6"/>
  <c r="F732" i="6"/>
  <c r="F731" i="6"/>
  <c r="F730" i="6"/>
  <c r="F729" i="6"/>
  <c r="F728" i="6"/>
  <c r="C727" i="6"/>
  <c r="F727" i="6"/>
  <c r="F726" i="6"/>
  <c r="F725" i="6"/>
  <c r="F724" i="6"/>
  <c r="F716" i="6"/>
  <c r="F715" i="6"/>
  <c r="F714" i="6"/>
  <c r="F713" i="6"/>
  <c r="F712" i="6"/>
  <c r="F711" i="6"/>
  <c r="F710" i="6"/>
  <c r="F709" i="6"/>
  <c r="F708" i="6"/>
  <c r="F700" i="6"/>
  <c r="F699" i="6"/>
  <c r="F698" i="6"/>
  <c r="F697" i="6"/>
  <c r="F696" i="6"/>
  <c r="F695" i="6"/>
  <c r="F694" i="6"/>
  <c r="F693" i="6"/>
  <c r="F692" i="6"/>
  <c r="F682" i="6"/>
  <c r="F679" i="6"/>
  <c r="C676" i="6"/>
  <c r="C681" i="6"/>
  <c r="C668" i="6"/>
  <c r="F668" i="6"/>
  <c r="C667" i="6"/>
  <c r="F667" i="6"/>
  <c r="C666" i="6"/>
  <c r="F666" i="6"/>
  <c r="F665" i="6"/>
  <c r="F664" i="6"/>
  <c r="F663" i="6"/>
  <c r="F662" i="6"/>
  <c r="F661" i="6"/>
  <c r="F660" i="6"/>
  <c r="F652" i="6"/>
  <c r="C651" i="6"/>
  <c r="F651" i="6"/>
  <c r="E650" i="6"/>
  <c r="F650" i="6"/>
  <c r="E649" i="6"/>
  <c r="F649" i="6"/>
  <c r="F640" i="6"/>
  <c r="F639" i="6"/>
  <c r="F638" i="6"/>
  <c r="F637" i="6"/>
  <c r="E636" i="6"/>
  <c r="C635" i="6"/>
  <c r="C636" i="6"/>
  <c r="F627" i="6"/>
  <c r="F626" i="6"/>
  <c r="F625" i="6"/>
  <c r="E624" i="6"/>
  <c r="C623" i="6"/>
  <c r="C624" i="6"/>
  <c r="F615" i="6"/>
  <c r="F614" i="6"/>
  <c r="F613" i="6"/>
  <c r="E612" i="6"/>
  <c r="C611" i="6"/>
  <c r="C612" i="6"/>
  <c r="F602" i="6"/>
  <c r="F601" i="6"/>
  <c r="F593" i="6"/>
  <c r="F592" i="6"/>
  <c r="F591" i="6"/>
  <c r="F590" i="6"/>
  <c r="F589" i="6"/>
  <c r="F588" i="6"/>
  <c r="F587" i="6"/>
  <c r="F586" i="6"/>
  <c r="F578" i="6"/>
  <c r="F577" i="6"/>
  <c r="F576" i="6"/>
  <c r="C568" i="6"/>
  <c r="F568" i="6"/>
  <c r="F567" i="6"/>
  <c r="F566" i="6"/>
  <c r="F565" i="6"/>
  <c r="F564" i="6"/>
  <c r="F563" i="6"/>
  <c r="F562" i="6"/>
  <c r="F561" i="6"/>
  <c r="F560" i="6"/>
  <c r="C559" i="6"/>
  <c r="F559" i="6"/>
  <c r="C533" i="6"/>
  <c r="F533" i="6"/>
  <c r="F532" i="6"/>
  <c r="C524" i="6"/>
  <c r="F524" i="6"/>
  <c r="F523" i="6"/>
  <c r="F513" i="6"/>
  <c r="F512" i="6"/>
  <c r="F504" i="6"/>
  <c r="F503" i="6"/>
  <c r="F502" i="6"/>
  <c r="C493" i="6"/>
  <c r="F493" i="6"/>
  <c r="F485" i="6"/>
  <c r="C484" i="6"/>
  <c r="F484" i="6"/>
  <c r="E483" i="6"/>
  <c r="F483" i="6"/>
  <c r="C475" i="6"/>
  <c r="F475" i="6"/>
  <c r="F474" i="6"/>
  <c r="F473" i="6"/>
  <c r="F472" i="6"/>
  <c r="F471" i="6"/>
  <c r="F428" i="6"/>
  <c r="C427" i="6"/>
  <c r="F427" i="6"/>
  <c r="E426" i="6"/>
  <c r="F426" i="6"/>
  <c r="F418" i="6"/>
  <c r="F417" i="6"/>
  <c r="F416" i="6"/>
  <c r="F415" i="6"/>
  <c r="F407" i="6"/>
  <c r="F406" i="6"/>
  <c r="F405" i="6"/>
  <c r="F404" i="6"/>
  <c r="F396" i="6"/>
  <c r="F395" i="6"/>
  <c r="F394" i="6"/>
  <c r="F393" i="6"/>
  <c r="F385" i="6"/>
  <c r="F384" i="6"/>
  <c r="F383" i="6"/>
  <c r="F382" i="6"/>
  <c r="F381" i="6"/>
  <c r="F380" i="6"/>
  <c r="F336" i="6"/>
  <c r="F335" i="6"/>
  <c r="F325" i="6"/>
  <c r="C324" i="6"/>
  <c r="F324" i="6"/>
  <c r="E323" i="6"/>
  <c r="F323" i="6"/>
  <c r="F316" i="6"/>
  <c r="F315" i="6"/>
  <c r="F314" i="6"/>
  <c r="F307" i="6"/>
  <c r="F306" i="6"/>
  <c r="F305" i="6"/>
  <c r="F304" i="6"/>
  <c r="F297" i="6"/>
  <c r="F299" i="6"/>
  <c r="B297" i="6"/>
  <c r="F290" i="6"/>
  <c r="F292" i="6"/>
  <c r="B290" i="6"/>
  <c r="C281" i="6"/>
  <c r="C282" i="6"/>
  <c r="F282" i="6"/>
  <c r="C272" i="6"/>
  <c r="F272" i="6"/>
  <c r="C262" i="6"/>
  <c r="F262" i="6"/>
  <c r="E261" i="6"/>
  <c r="F261" i="6"/>
  <c r="C253" i="6"/>
  <c r="F253" i="6"/>
  <c r="E252" i="6"/>
  <c r="F252" i="6"/>
  <c r="E251" i="6"/>
  <c r="F251" i="6"/>
  <c r="E242" i="6"/>
  <c r="C242" i="6"/>
  <c r="C243" i="6"/>
  <c r="F243" i="6"/>
  <c r="F235" i="6"/>
  <c r="F234" i="6"/>
  <c r="F233" i="6"/>
  <c r="F226" i="6"/>
  <c r="F225" i="6"/>
  <c r="F224" i="6"/>
  <c r="F223" i="6"/>
  <c r="F216" i="6"/>
  <c r="F215" i="6"/>
  <c r="F214" i="6"/>
  <c r="F207" i="6"/>
  <c r="F206" i="6"/>
  <c r="F205" i="6"/>
  <c r="F198" i="6"/>
  <c r="F197" i="6"/>
  <c r="F196" i="6"/>
  <c r="F189" i="6"/>
  <c r="F188" i="6"/>
  <c r="F187" i="6"/>
  <c r="F180" i="6"/>
  <c r="F179" i="6"/>
  <c r="F178" i="6"/>
  <c r="F171" i="6"/>
  <c r="F170" i="6"/>
  <c r="F169" i="6"/>
  <c r="F162" i="6"/>
  <c r="F161" i="6"/>
  <c r="F160" i="6"/>
  <c r="F152" i="6"/>
  <c r="F151" i="6"/>
  <c r="F150" i="6"/>
  <c r="F149" i="6"/>
  <c r="F148" i="6"/>
  <c r="F147" i="6"/>
  <c r="F146" i="6"/>
  <c r="F138" i="6"/>
  <c r="F137" i="6"/>
  <c r="F136" i="6"/>
  <c r="F135" i="6"/>
  <c r="F134" i="6"/>
  <c r="F133" i="6"/>
  <c r="F132" i="6"/>
  <c r="F131" i="6"/>
  <c r="F123" i="6"/>
  <c r="F122" i="6"/>
  <c r="F121" i="6"/>
  <c r="F120" i="6"/>
  <c r="F119" i="6"/>
  <c r="F118" i="6"/>
  <c r="F117" i="6"/>
  <c r="F116" i="6"/>
  <c r="F115" i="6"/>
  <c r="F114" i="6"/>
  <c r="F113" i="6"/>
  <c r="F105" i="6"/>
  <c r="F104" i="6"/>
  <c r="F96" i="6"/>
  <c r="F95" i="6"/>
  <c r="E94" i="6"/>
  <c r="F94" i="6"/>
  <c r="E93" i="6"/>
  <c r="F93" i="6"/>
  <c r="E92" i="6"/>
  <c r="F92" i="6"/>
  <c r="E91" i="6"/>
  <c r="F91" i="6"/>
  <c r="F90" i="6"/>
  <c r="E89" i="6"/>
  <c r="F89" i="6"/>
  <c r="F88" i="6"/>
  <c r="F87" i="6"/>
  <c r="F86" i="6"/>
  <c r="F48" i="6"/>
  <c r="F47" i="6"/>
  <c r="F39" i="6"/>
  <c r="E38" i="6"/>
  <c r="C38" i="6"/>
  <c r="E37" i="6"/>
  <c r="F37" i="6"/>
  <c r="E36" i="6"/>
  <c r="F36" i="6"/>
  <c r="F28" i="6"/>
  <c r="C27" i="6"/>
  <c r="F27" i="6"/>
  <c r="F26" i="6"/>
  <c r="F25" i="6"/>
  <c r="F17" i="6"/>
  <c r="F16" i="6"/>
  <c r="F8" i="6"/>
  <c r="F7" i="6"/>
  <c r="E9" i="6"/>
  <c r="F9" i="6"/>
  <c r="F11" i="6"/>
  <c r="F318" i="6"/>
  <c r="E106" i="6"/>
  <c r="F106" i="6"/>
  <c r="F108" i="6"/>
  <c r="F200" i="6"/>
  <c r="E594" i="6"/>
  <c r="F594" i="6"/>
  <c r="F596" i="6"/>
  <c r="F164" i="6"/>
  <c r="E505" i="6"/>
  <c r="F505" i="6"/>
  <c r="E40" i="6"/>
  <c r="F40" i="6"/>
  <c r="F182" i="6"/>
  <c r="F624" i="6"/>
  <c r="E337" i="6"/>
  <c r="F337" i="6"/>
  <c r="F339" i="6"/>
  <c r="F237" i="6"/>
  <c r="C678" i="6"/>
  <c r="F678" i="6"/>
  <c r="E153" i="6"/>
  <c r="F153" i="6"/>
  <c r="F155" i="6"/>
  <c r="F173" i="6"/>
  <c r="F612" i="6"/>
  <c r="E408" i="6"/>
  <c r="F408" i="6"/>
  <c r="F410" i="6"/>
  <c r="E139" i="6"/>
  <c r="F139" i="6"/>
  <c r="F141" i="6"/>
  <c r="F242" i="6"/>
  <c r="E244" i="6"/>
  <c r="F244" i="6"/>
  <c r="F246" i="6"/>
  <c r="F623" i="6"/>
  <c r="F309" i="6"/>
  <c r="E386" i="6"/>
  <c r="F386" i="6"/>
  <c r="F388" i="6"/>
  <c r="E525" i="6"/>
  <c r="F525" i="6"/>
  <c r="F527" i="6"/>
  <c r="C494" i="6"/>
  <c r="F494" i="6"/>
  <c r="E495" i="6"/>
  <c r="F495" i="6"/>
  <c r="F497" i="6"/>
  <c r="F636" i="6"/>
  <c r="F209" i="6"/>
  <c r="F681" i="6"/>
  <c r="C684" i="6"/>
  <c r="F684" i="6"/>
  <c r="E124" i="6"/>
  <c r="F124" i="6"/>
  <c r="F126" i="6"/>
  <c r="E766" i="6"/>
  <c r="F766" i="6"/>
  <c r="F768" i="6"/>
  <c r="C273" i="6"/>
  <c r="F273" i="6"/>
  <c r="E274" i="6"/>
  <c r="F274" i="6"/>
  <c r="F276" i="6"/>
  <c r="F635" i="6"/>
  <c r="F676" i="6"/>
  <c r="E746" i="6"/>
  <c r="F746" i="6"/>
  <c r="F748" i="6"/>
  <c r="F191" i="6"/>
  <c r="C677" i="6"/>
  <c r="F677" i="6"/>
  <c r="F228" i="6"/>
  <c r="F38" i="6"/>
  <c r="C680" i="6"/>
  <c r="C683" i="6"/>
  <c r="F683" i="6"/>
  <c r="E733" i="6"/>
  <c r="F733" i="6"/>
  <c r="F735" i="6"/>
  <c r="F507" i="6"/>
  <c r="E579" i="6"/>
  <c r="F579" i="6"/>
  <c r="F581" i="6"/>
  <c r="F218" i="6"/>
  <c r="E653" i="6"/>
  <c r="F653" i="6"/>
  <c r="F655" i="6"/>
  <c r="E486" i="6"/>
  <c r="F486" i="6"/>
  <c r="F488" i="6"/>
  <c r="E254" i="6"/>
  <c r="F254" i="6"/>
  <c r="F256" i="6"/>
  <c r="E476" i="6"/>
  <c r="F476" i="6"/>
  <c r="F478" i="6"/>
  <c r="E701" i="6"/>
  <c r="F701" i="6"/>
  <c r="F703" i="6"/>
  <c r="E717" i="6"/>
  <c r="F717" i="6"/>
  <c r="F719" i="6"/>
  <c r="E29" i="6"/>
  <c r="F29" i="6"/>
  <c r="F31" i="6"/>
  <c r="E514" i="6"/>
  <c r="F514" i="6"/>
  <c r="F516" i="6"/>
  <c r="E534" i="6"/>
  <c r="F534" i="6"/>
  <c r="F536" i="6"/>
  <c r="F281" i="6"/>
  <c r="E429" i="6"/>
  <c r="F429" i="6"/>
  <c r="F431" i="6"/>
  <c r="E263" i="6"/>
  <c r="F263" i="6"/>
  <c r="F265" i="6"/>
  <c r="E757" i="6"/>
  <c r="F757" i="6"/>
  <c r="F759" i="6"/>
  <c r="E326" i="6"/>
  <c r="F326" i="6"/>
  <c r="F328" i="6"/>
  <c r="E397" i="6"/>
  <c r="F397" i="6"/>
  <c r="F399" i="6"/>
  <c r="E669" i="6"/>
  <c r="F669" i="6"/>
  <c r="F671" i="6"/>
  <c r="E18" i="6"/>
  <c r="F18" i="6"/>
  <c r="F20" i="6"/>
  <c r="E49" i="6"/>
  <c r="F49" i="6"/>
  <c r="F51" i="6"/>
  <c r="E603" i="6"/>
  <c r="F603" i="6"/>
  <c r="F605" i="6"/>
  <c r="E97" i="6"/>
  <c r="F97" i="6"/>
  <c r="F99" i="6"/>
  <c r="E419" i="6"/>
  <c r="F419" i="6"/>
  <c r="F421" i="6"/>
  <c r="E569" i="6"/>
  <c r="F569" i="6"/>
  <c r="F571" i="6"/>
  <c r="F611" i="6"/>
  <c r="F42" i="6"/>
  <c r="E641" i="6"/>
  <c r="F641" i="6"/>
  <c r="F643" i="6"/>
  <c r="F680" i="6"/>
  <c r="E685" i="6"/>
  <c r="F685" i="6"/>
  <c r="F687" i="6"/>
  <c r="E628" i="6"/>
  <c r="F628" i="6"/>
  <c r="F630" i="6"/>
  <c r="E616" i="6"/>
  <c r="F616" i="6"/>
  <c r="F618" i="6"/>
  <c r="E283" i="6"/>
  <c r="F283" i="6"/>
  <c r="F285" i="6"/>
  <c r="G98" i="2" l="1"/>
  <c r="G112" i="2" l="1"/>
  <c r="G108" i="2"/>
  <c r="G111" i="2"/>
  <c r="G100" i="2"/>
  <c r="G110" i="2"/>
  <c r="G99" i="2"/>
  <c r="G117" i="2"/>
  <c r="G109" i="2"/>
  <c r="G101" i="2" l="1"/>
  <c r="G103" i="2" s="1"/>
  <c r="G105" i="2" s="1"/>
  <c r="G107" i="2" s="1"/>
  <c r="G113" i="2" s="1"/>
  <c r="G115" i="2" s="1"/>
  <c r="G119" i="2" s="1"/>
</calcChain>
</file>

<file path=xl/sharedStrings.xml><?xml version="1.0" encoding="utf-8"?>
<sst xmlns="http://schemas.openxmlformats.org/spreadsheetml/2006/main" count="1447" uniqueCount="360">
  <si>
    <t>Descripción</t>
  </si>
  <si>
    <t>Retiro de aparatos sanitarios existentes (inodoro y lavamanos)</t>
  </si>
  <si>
    <t>ud</t>
  </si>
  <si>
    <t>Retiro de cerámicas de paredes existentes en área de baños</t>
  </si>
  <si>
    <t>Suministro e instalación de lámparas parabólicas de  plafón 2x2' con tubos LED T8, de 18w 24", 800LM, 4000K, 120-277VAC con certificación UL</t>
  </si>
  <si>
    <t>Traslado de escombros demolidos</t>
  </si>
  <si>
    <t>Bote de escombros</t>
  </si>
  <si>
    <t>Limpieza continua</t>
  </si>
  <si>
    <t>pa</t>
  </si>
  <si>
    <t>Sub-total</t>
  </si>
  <si>
    <t>PA</t>
  </si>
  <si>
    <t>COCINA</t>
  </si>
  <si>
    <t>Limpieza continua y bote</t>
  </si>
  <si>
    <t>OFICINA DEL JUEZ</t>
  </si>
  <si>
    <t xml:space="preserve">RECEPCION DE DOCUMENTOS </t>
  </si>
  <si>
    <t>Desmonte de puerta sencilla de madera existente (Incluye marcos)</t>
  </si>
  <si>
    <t>Desmonte de puerta sencilla de cristal existente (Incluye marcos)</t>
  </si>
  <si>
    <t>Traslado y bote de material demolido</t>
  </si>
  <si>
    <t>PINTURA</t>
  </si>
  <si>
    <t>ml</t>
  </si>
  <si>
    <t>Reparación puerta de hierro peatonal sencilla (incluye pintura)</t>
  </si>
  <si>
    <t>Reparación puerta de hierro peatonal doble (Incluye pintura)</t>
  </si>
  <si>
    <t>Suministro e instalación de hierros de protección en verja perimetral similar al existente (Lado frontal)</t>
  </si>
  <si>
    <t>Mantenimiento  en hierros de verja existente (Incluye pintura Anticorrosiva y pintura esmalte)</t>
  </si>
  <si>
    <t>Limpieza continua y final</t>
  </si>
  <si>
    <t>TOTAL GENERAL  (RD$)</t>
  </si>
  <si>
    <t>GASTOS INDIRECTOS</t>
  </si>
  <si>
    <t>No.</t>
  </si>
  <si>
    <t xml:space="preserve"> %</t>
  </si>
  <si>
    <t>Valor</t>
  </si>
  <si>
    <t>Dirección técnica y responsabilidad</t>
  </si>
  <si>
    <t>Gastos administrativos y de obra</t>
  </si>
  <si>
    <t>Transporte</t>
  </si>
  <si>
    <t>Sub-total Gravado</t>
  </si>
  <si>
    <t>Base Imponible de ITBIS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</si>
  <si>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</si>
  <si>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</si>
  <si>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</si>
  <si>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</si>
  <si>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</si>
  <si>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</si>
  <si>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</si>
  <si>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</si>
  <si>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</si>
  <si>
    <t>ANALISIS UNITARIOS</t>
  </si>
  <si>
    <t>BAÑOS PRIVADOS, SERVICIOS Y PUBLICOS</t>
  </si>
  <si>
    <t>Referencia / Rendimiento</t>
  </si>
  <si>
    <t>PART.</t>
  </si>
  <si>
    <t>DESCRIPCION</t>
  </si>
  <si>
    <t>CANTIDAD</t>
  </si>
  <si>
    <t>UND.</t>
  </si>
  <si>
    <t>PU (RD$)</t>
  </si>
  <si>
    <t>VALOR (RD$)</t>
  </si>
  <si>
    <t>Tecnico de 1ra</t>
  </si>
  <si>
    <t>dias</t>
  </si>
  <si>
    <t>Ayudante</t>
  </si>
  <si>
    <t>Herramientas y equipos</t>
  </si>
  <si>
    <t>COSTO/ud</t>
  </si>
  <si>
    <t>Desmonte de puertas existentes (Incluye marcos )</t>
  </si>
  <si>
    <t>Ampliación de hueco para puerta de 1.00m x 2.10m (incluye terminación)</t>
  </si>
  <si>
    <t>Maestro</t>
  </si>
  <si>
    <t>Mezcla preparada para pañete</t>
  </si>
  <si>
    <t>fda</t>
  </si>
  <si>
    <t>Demolición de pisos existentes (incluye mortero e= 0.10M)</t>
  </si>
  <si>
    <t>Tecnico de 2da</t>
  </si>
  <si>
    <t xml:space="preserve">Trabajador No Calificado (2ud) </t>
  </si>
  <si>
    <t>Taladro Demoledor</t>
  </si>
  <si>
    <t>COSTO/m3</t>
  </si>
  <si>
    <t xml:space="preserve">Trabajador No Calificado (1ud) </t>
  </si>
  <si>
    <t>COSTO/m2</t>
  </si>
  <si>
    <t>PORCELANATO  30X60 ANTIDESLIZANTE COLOR GRIS</t>
  </si>
  <si>
    <t>M2</t>
  </si>
  <si>
    <t>Porcelanato</t>
  </si>
  <si>
    <t>Volumen Análisis</t>
  </si>
  <si>
    <t>Materiales y Equipos</t>
  </si>
  <si>
    <t>Mortero 1:10 pisos + 10% desp.</t>
  </si>
  <si>
    <t>M3</t>
  </si>
  <si>
    <t>Porcelanato +10% desp.</t>
  </si>
  <si>
    <t>Derretido Keracolor 25 lbs + 10% desp.</t>
  </si>
  <si>
    <t>FDA</t>
  </si>
  <si>
    <t>Estopa</t>
  </si>
  <si>
    <t>LB</t>
  </si>
  <si>
    <t>Corte de Chazos Porcelanato</t>
  </si>
  <si>
    <t>UND</t>
  </si>
  <si>
    <t>Transporte de pisos (3%)</t>
  </si>
  <si>
    <t>Mano de obra</t>
  </si>
  <si>
    <t>Mano de Obra de colocación de Porcelanato</t>
  </si>
  <si>
    <t>Total/UND</t>
  </si>
  <si>
    <t>Costo/m2</t>
  </si>
  <si>
    <t>REVESTIMIENTO PORCELANATO  30X60CM  COLOR BLANCO MATE</t>
  </si>
  <si>
    <t>Porcelanato 30X60CM</t>
  </si>
  <si>
    <t>Cemento gris</t>
  </si>
  <si>
    <t>Pegamento de cerámica Pegatod</t>
  </si>
  <si>
    <t>Separadores de porcelanato</t>
  </si>
  <si>
    <t>Suministro e instalación de plafón 2´x 2´ vinil yeso</t>
  </si>
  <si>
    <t xml:space="preserve">Plafon vinyl yeso 2x2 </t>
  </si>
  <si>
    <t>m2</t>
  </si>
  <si>
    <t>Angular 10pie</t>
  </si>
  <si>
    <t>Main tee 12pie</t>
  </si>
  <si>
    <t>Crosstee 2pie</t>
  </si>
  <si>
    <t>Crosstee 4pie</t>
  </si>
  <si>
    <t xml:space="preserve">Clavo de plafon 1.1/4" </t>
  </si>
  <si>
    <t>Fulminante verde C22</t>
  </si>
  <si>
    <t>Funda de clavo de acero 2.5x20mm 100/1</t>
  </si>
  <si>
    <t>Alambre rollo 1lib cal.16</t>
  </si>
  <si>
    <t>Uso de escalera</t>
  </si>
  <si>
    <t>dia</t>
  </si>
  <si>
    <t>Lámparas parabólicas de  plafón 2x2' con tubos LED T8, de 18w 24", 800LM, 4000K, 120-277VAC con certificación UL</t>
  </si>
  <si>
    <t>Instalacion</t>
  </si>
  <si>
    <t>Suministro e instalación de inodoro con tanque color blanco en porcelana (Incluye piezas y M.O.)</t>
  </si>
  <si>
    <t>Inodoro con tanque color blanco en porcelana</t>
  </si>
  <si>
    <t>Niple Cromado 1/2" x 3"</t>
  </si>
  <si>
    <t>Cubrefalta cromado 1/2"</t>
  </si>
  <si>
    <t>Llave Angular 1/2" a 3/8"</t>
  </si>
  <si>
    <t>Manguera flexible inodoro inox. 3/8" Eastman</t>
  </si>
  <si>
    <t>Junta de Cera</t>
  </si>
  <si>
    <t>Arandela PVC 4"</t>
  </si>
  <si>
    <t>Juego de tornillos de basineta</t>
  </si>
  <si>
    <t>Cemento blanco</t>
  </si>
  <si>
    <t xml:space="preserve">Teflón </t>
  </si>
  <si>
    <t>Suministro e instalación de lavamanos ovalado empotrado en pared sin pedestal (Incluye piezas y M.O.)</t>
  </si>
  <si>
    <t xml:space="preserve">Lavamanos de pedestal Bath Collection  </t>
  </si>
  <si>
    <t>Boquilla para lavamanos</t>
  </si>
  <si>
    <t>Cola Extensora 1-1/4" PVC</t>
  </si>
  <si>
    <t>Sifón 1-1/4" PVC</t>
  </si>
  <si>
    <t>Reducción 2" a 1-1/4" PVC drenaje</t>
  </si>
  <si>
    <t>Suministro e instalación de llave monomando para lavamanos, monomando de lavado con contra, cuadrado inclinado 1/2"-14 NPSM</t>
  </si>
  <si>
    <t>Manguera flexible lavamanos inox. 3/8" Eastman</t>
  </si>
  <si>
    <t xml:space="preserve">Llave monomando para lavamanos </t>
  </si>
  <si>
    <t>Suministro e instalación de barras de seguridad de acero inoxidables de 24'' de longitud</t>
  </si>
  <si>
    <t>Barra en acero inoxidable</t>
  </si>
  <si>
    <t>Materiales menores</t>
  </si>
  <si>
    <t>Suministro e Instalación de Dispensador de papel higiénico de acero inoxidables</t>
  </si>
  <si>
    <t>Dispensador de papel higienico</t>
  </si>
  <si>
    <t>Suministro e Instalación de dispensador de jabón líquido en acero inoxidable</t>
  </si>
  <si>
    <t>Dispensadore de jabon liquido en acero inoxidable</t>
  </si>
  <si>
    <t>Suministro e instalación de espejo de 1.00x 0.70m, sin marco con cantos pulidos</t>
  </si>
  <si>
    <t xml:space="preserve">Espejo de 1.00x0.70 m sin marco, con cantos pulidos </t>
  </si>
  <si>
    <t>Suministro e Instalación de Dispensador manual de Rollos de Papel Toalla Estándar fabricado en acero inoxidable con acabado satinado</t>
  </si>
  <si>
    <t>Dispensador manual de Rollos de Papel Toalla Estándar fabricado en acero inoxidable con acabado satinado</t>
  </si>
  <si>
    <t>Suministro e instalación de puerta nueva de Polimetal de 1.00(W) x 2.10(H)m (Incluye llavín tipo palancas y marcos)</t>
  </si>
  <si>
    <t>Suministro de puerta nueva de Polimetal de 1.00(W) x 2.10(H)m (Incluye marcos)</t>
  </si>
  <si>
    <t>Suministro de llavin tipo palanca</t>
  </si>
  <si>
    <t>Suministro e instalación de puerta nueva de caoba (Ver TDR)  de 0.95(W) x 2.10(H)m (Incluye llavín tipo palancas y marcos</t>
  </si>
  <si>
    <t>Puerta nueva de caoba de 0.95(W) x 2.10(H)m (Incluye marcos)</t>
  </si>
  <si>
    <t>Suministro e instalación de Desagüe de piso 2" niquelado con parrilla cuadrada (incluye sifón)</t>
  </si>
  <si>
    <t>Desagüe de piso 2" niquelado con parrilla cuadrada</t>
  </si>
  <si>
    <t>Sifon</t>
  </si>
  <si>
    <t>Suministro e instalación de Interruptores sencillos Tecnopolímero Color blanco (pure White) con botoneras color blanco control axial y placa dedicada de soporte</t>
  </si>
  <si>
    <t>Interruptores sencillos Tecnopolímero Color blanco (pure White) con botoneras color blanco control axial y placa dedicada de soporte</t>
  </si>
  <si>
    <t>%</t>
  </si>
  <si>
    <t>Trabajador No Calificado (3ud)</t>
  </si>
  <si>
    <t>Camion de 3metros</t>
  </si>
  <si>
    <t>m3</t>
  </si>
  <si>
    <t>Trabajador No Calificado (2ud)</t>
  </si>
  <si>
    <t>COSTO/pa</t>
  </si>
  <si>
    <t>Retiro de gabinete de piso</t>
  </si>
  <si>
    <t>Ebanista</t>
  </si>
  <si>
    <t>Retiro de tope existente</t>
  </si>
  <si>
    <t>Operador de 1ra</t>
  </si>
  <si>
    <t xml:space="preserve">Suministro y colocación de gabinetes piso bajo meseta en caoba </t>
  </si>
  <si>
    <t>p2</t>
  </si>
  <si>
    <t>COSTO/p2</t>
  </si>
  <si>
    <t>Suministro e instalación de tope de granito Galaxy S.N.P.T.= 0.85m y  bash splash de 0.40m de altura</t>
  </si>
  <si>
    <t>Suministro y colocación de fregadero 0.45m x 0.45m de acero inoxidable con mezcladora</t>
  </si>
  <si>
    <t>Fregadero 0.45m x 0.45m de acero inoxidable</t>
  </si>
  <si>
    <t>Mezcladora</t>
  </si>
  <si>
    <t>Silicon blanco</t>
  </si>
  <si>
    <t>Suministro e instalacion de tomacorrientes 120 v, sobre meseta</t>
  </si>
  <si>
    <t>Salida de Tomacorriente</t>
  </si>
  <si>
    <t>Tomacorriente 120v</t>
  </si>
  <si>
    <t>Bote</t>
  </si>
  <si>
    <t>SALA DE AUDIENCIAS</t>
  </si>
  <si>
    <t>Reduccion de hueco de ventana de 1.20 m a 1.00 m, incluye terminacion de supercie</t>
  </si>
  <si>
    <t>Paredes en sheetrock</t>
  </si>
  <si>
    <t>Suministro bloques horm. +4% desp.</t>
  </si>
  <si>
    <t>Hormigón 1:3:5 en cámaras +10% desp.</t>
  </si>
  <si>
    <t>Mortero 1:3  en juntas + 30% desp.</t>
  </si>
  <si>
    <t>Acero bastones 3/8" + 20% desp.</t>
  </si>
  <si>
    <t>QQ</t>
  </si>
  <si>
    <t>Alambre Dulce No. 18 para amarrar bastones</t>
  </si>
  <si>
    <t>Pañete (Todo costo)</t>
  </si>
  <si>
    <t>Cantos (Todo costo)</t>
  </si>
  <si>
    <t>Mocheta (Todo costo)</t>
  </si>
  <si>
    <t>Pintura (Todo costro)</t>
  </si>
  <si>
    <t xml:space="preserve">Mano de obra  </t>
  </si>
  <si>
    <t>Mano de obra colocacion de bloques</t>
  </si>
  <si>
    <t>PAREDES EN SHEETROCK DOBLE CARA</t>
  </si>
  <si>
    <t>Planchas de yeso 1/2 x 4 x 8 pies</t>
  </si>
  <si>
    <t>Parales - Studs 2-1/2" x 10 C25</t>
  </si>
  <si>
    <t>Durmientes - Tracks 2-1/2" x 8 C25</t>
  </si>
  <si>
    <t>Cinta de yeso 250 PL</t>
  </si>
  <si>
    <t>Masilla para sheetrock 5GL</t>
  </si>
  <si>
    <t>Clavos 1-1/4" con arandelas Caja de 100unds</t>
  </si>
  <si>
    <t>Fulminates - Green Shots Caja de 100unds</t>
  </si>
  <si>
    <t>Tornillos 6 x 1-1/4" LBS 293 Torn/LB</t>
  </si>
  <si>
    <t>Tornillos 7 x 7/16" LBS 354 Torn/LB</t>
  </si>
  <si>
    <t>Esquinero metálico 10 pies</t>
  </si>
  <si>
    <t>Mano de obra paredes de sheetrock</t>
  </si>
  <si>
    <t xml:space="preserve">Mantenimiento de estrado completo (incluye sustitución de piso de tarima por piso de plancha hidrófuga de 3/4´´ pintadas </t>
  </si>
  <si>
    <t>Plancha plywood de 3/4"</t>
  </si>
  <si>
    <t>Desmantelacion de tarima</t>
  </si>
  <si>
    <t>p.a</t>
  </si>
  <si>
    <t>Primer</t>
  </si>
  <si>
    <t>gls</t>
  </si>
  <si>
    <t>Pintura</t>
  </si>
  <si>
    <t xml:space="preserve">Mantenimientos de bancos </t>
  </si>
  <si>
    <t xml:space="preserve">Mantenimiento de puertas dobles </t>
  </si>
  <si>
    <t>Mantenimiento de puertas sencillas</t>
  </si>
  <si>
    <t>PAREDES EN SHEETROCK DOBLE CARA CON INSOLACION ACUSTICA, ESTRUCTURA DE 3 5/8" GALVANIZADA, HASTA FONDO LOSA DE TECHO</t>
  </si>
  <si>
    <t>Parales - Studs 3-5/8" x 10 C25</t>
  </si>
  <si>
    <t>Fibra acustica R11</t>
  </si>
  <si>
    <t>Rollo</t>
  </si>
  <si>
    <t>Suministro e instalación de puerta nueva de caoba (Ver TDR)  de 0.90(W) x 2.10(H)m (Incluye llavín tipo palancas y marcos</t>
  </si>
  <si>
    <t>Puerta nueva de caoba (Ver TDR)  de 0.95(W) x 2.10(H)m (Incluye marcos)</t>
  </si>
  <si>
    <t>Reubicación de interruptor sencillo (Incluye suministro, ranurado y terminación)</t>
  </si>
  <si>
    <t>Tubo ½"x19' PVC SDR-26 + 15% desp.</t>
  </si>
  <si>
    <t>Caja rectangular ½"</t>
  </si>
  <si>
    <t>Alambre #12 TW</t>
  </si>
  <si>
    <t>PIE</t>
  </si>
  <si>
    <t>Accesorio Tapa interruptor sencillo</t>
  </si>
  <si>
    <t>Codo electrico PVC 1/2"</t>
  </si>
  <si>
    <t>Cinta adhesiva eléctrica 3M (rollo)</t>
  </si>
  <si>
    <t>Cemento PVC + 30% desp.</t>
  </si>
  <si>
    <t>Mano de obra interruptor sencillo</t>
  </si>
  <si>
    <t>Mano de obra ranura</t>
  </si>
  <si>
    <t>Mezcla para pañete</t>
  </si>
  <si>
    <t>Gastos indirectos contratistas eléctricos</t>
  </si>
  <si>
    <t>Retiro de aire acondicionado existente</t>
  </si>
  <si>
    <t>Tecnico A/A</t>
  </si>
  <si>
    <t>Ayudante A/A</t>
  </si>
  <si>
    <t>Suministro e instalación de aire acondicionado tipo Split de 12,000 BTU (Ver especificaciones)</t>
  </si>
  <si>
    <t>Aire acondicionado tipo Split de 12,000 BTU (Ver especificaciones)</t>
  </si>
  <si>
    <t>Suministro e instalación de lámparas parabólicas de superficies 2'' x 4'' con tubos LED T8, de 18w 24", 800LM, 4000K, 120-277VAC con certificación UL</t>
  </si>
  <si>
    <t>Lámparas parabólicas de superficies 2'x 4' con tubos LED T8, de 18w 24", 800LM, 4000K, 120-277VAC con certificación UL</t>
  </si>
  <si>
    <t>Ayudante ebanista</t>
  </si>
  <si>
    <t>Apertura para puerta de sheetrock de 0.90m x 2.10m (Incluye terminación)</t>
  </si>
  <si>
    <t>Plancha de yeso 4*8*1/2</t>
  </si>
  <si>
    <t>Perfil CGM 2.1/2* 10</t>
  </si>
  <si>
    <t>Sella tape nat. GYP 250' 20/CTN</t>
  </si>
  <si>
    <t>Masilla Yeso pro-form 5gls americ</t>
  </si>
  <si>
    <t>cub.</t>
  </si>
  <si>
    <t>Pin 1  con arandela</t>
  </si>
  <si>
    <t>Fulminante verde Cal.22 americano</t>
  </si>
  <si>
    <t>Tornillo p/plancha #6*1-1/4 pta fina (lb)</t>
  </si>
  <si>
    <t>lb</t>
  </si>
  <si>
    <t>Tornillo p/est #7-7/16 pta fina (LB)</t>
  </si>
  <si>
    <t>Equinero Metalico American 1.1/74x10</t>
  </si>
  <si>
    <t>Mano de obra (apertura y terminacion)</t>
  </si>
  <si>
    <t xml:space="preserve">Mantenimiento y reinstalación de puerta de cristal </t>
  </si>
  <si>
    <t>Suministro e instalación de interruptor sencillo (Incluye salidas)</t>
  </si>
  <si>
    <t>Trabajandor No Calificado (2ud)</t>
  </si>
  <si>
    <t>viaje</t>
  </si>
  <si>
    <t>Suministro y Aplicación de Pintura blanco 00 en losa de techo (Incluye preparación de superficies)</t>
  </si>
  <si>
    <t>Pintura acrilica blanco 00</t>
  </si>
  <si>
    <t>Desperdicio</t>
  </si>
  <si>
    <t>Pintura 1ra mano</t>
  </si>
  <si>
    <t>Pintura 2da mano</t>
  </si>
  <si>
    <t>Suministro y Aplicación de Pintura satinada en muros interiores (Incluye preparación de superficies)</t>
  </si>
  <si>
    <t>Pintura satinada</t>
  </si>
  <si>
    <t>Suministro y Aplicación de Pintura satinada en muros exteriores  (Incluye preparación de superficies)</t>
  </si>
  <si>
    <t>Andamios</t>
  </si>
  <si>
    <t>MICELANEOS</t>
  </si>
  <si>
    <t xml:space="preserve">Demolición de pisos existentes incluye mortero entrada </t>
  </si>
  <si>
    <t>Tecnico de 2da (2ud)</t>
  </si>
  <si>
    <t>Suministro e instalación de piso en porcelanato de alto tráfico antideslizante color gris formado de 60cm x 60cm (Ver plano)</t>
  </si>
  <si>
    <t>Porcelanato 60x60 alto transito</t>
  </si>
  <si>
    <t>Corte de chazos</t>
  </si>
  <si>
    <t>lbs</t>
  </si>
  <si>
    <t>Colocacion de piso</t>
  </si>
  <si>
    <t>Suministro de Pegamento</t>
  </si>
  <si>
    <t>Suministro de Derretido</t>
  </si>
  <si>
    <t>Transporte interno de piso</t>
  </si>
  <si>
    <t>Transporte interno de Pegamento</t>
  </si>
  <si>
    <t>Transporte interno de Derretido</t>
  </si>
  <si>
    <t>Suministro y Colocación de zócalos similar al existente</t>
  </si>
  <si>
    <t>Zocalos igual al existente</t>
  </si>
  <si>
    <t>COSTO/ml</t>
  </si>
  <si>
    <t>Tecnico Herrero</t>
  </si>
  <si>
    <t>Ayudante Herrero</t>
  </si>
  <si>
    <t>Barras de 1/2</t>
  </si>
  <si>
    <t>Electrodos 6013</t>
  </si>
  <si>
    <t>Disco de corte</t>
  </si>
  <si>
    <t>Disco de pulir</t>
  </si>
  <si>
    <t>Pintura anticorrosiva (1/4)</t>
  </si>
  <si>
    <t>Pintura Industrial</t>
  </si>
  <si>
    <t>Thinner</t>
  </si>
  <si>
    <t xml:space="preserve">Suministro e Instalación de aires acondicionado tipo Split de 36,000 BTU </t>
  </si>
  <si>
    <t xml:space="preserve">Aires acondicionado tipo Split de 36,000 BTU </t>
  </si>
  <si>
    <t>INFORMACIONES DEL PROYECTO</t>
  </si>
  <si>
    <t> </t>
  </si>
  <si>
    <t>PRESUPUESTO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</si>
  <si>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</si>
  <si>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</si>
  <si>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</si>
  <si>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</si>
  <si>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</si>
  <si>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</si>
  <si>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</si>
  <si>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>MISCELÁNEOS</t>
  </si>
  <si>
    <t>pu</t>
  </si>
  <si>
    <t>PRELIMINARES</t>
  </si>
  <si>
    <t>Desmonte de puertas existentes</t>
  </si>
  <si>
    <t>Desmonte de plafón existente</t>
  </si>
  <si>
    <t>Desmonte de luminarias existentes</t>
  </si>
  <si>
    <t>Demolición de muros de Sheetrock</t>
  </si>
  <si>
    <t>Desmonte de cristal fijo</t>
  </si>
  <si>
    <t>Demolición de jardinera existente</t>
  </si>
  <si>
    <t>Desmonte de aparatos sanitarios</t>
  </si>
  <si>
    <t>Desmonte de tarima de madera existente</t>
  </si>
  <si>
    <t>Suministro e instalación de muros de Sheetrock Acústico</t>
  </si>
  <si>
    <t>Suministro e instalación de puerta de vidrio en P-40 en entrada</t>
  </si>
  <si>
    <t>Suministro e instalación de puerta de vidrio flotante</t>
  </si>
  <si>
    <t>Suministro e instalación de vidrio flotante (Incluye laminado Frosty)</t>
  </si>
  <si>
    <t>Suministro e instalación de ventana corrediza P-65</t>
  </si>
  <si>
    <t>Suministro e instalación de lavamanos de pedestal</t>
  </si>
  <si>
    <t>Suministro e instalación de espejo 0.60 x 0.80 mts con marco metálico</t>
  </si>
  <si>
    <t>Suministro e instalación de salidas cenitales nuevas</t>
  </si>
  <si>
    <t xml:space="preserve">Suministro e instalación de interruptores 110V sencillos </t>
  </si>
  <si>
    <t xml:space="preserve">Suministro e instalación de interruptores 120V dobles </t>
  </si>
  <si>
    <t>Suministro y aplicación de pintura satinada en interior</t>
  </si>
  <si>
    <t>Suministro y aplicación de pintura acrílica en exterior</t>
  </si>
  <si>
    <t>Suministro y aplicación de pintura de mantenimiento de hierros</t>
  </si>
  <si>
    <t>Desinstalación de alfombra existente (Incluye zócalos)</t>
  </si>
  <si>
    <t>viajes</t>
  </si>
  <si>
    <t>Suministro e instalación de inodoro elongado blanco</t>
  </si>
  <si>
    <t>MUROS</t>
  </si>
  <si>
    <t>TECHOS</t>
  </si>
  <si>
    <t>EBANISTERÍA</t>
  </si>
  <si>
    <t>VIDRIOS</t>
  </si>
  <si>
    <t>INSTALACIONES SANITARIAS</t>
  </si>
  <si>
    <t>INSTALACIONES ELÉCTRICAS</t>
  </si>
  <si>
    <t>Suministro e instalación de pasamanos en acero inoxidable en rampa para discapacitados</t>
  </si>
  <si>
    <t>Demolición de piso de cerámica en baño existente</t>
  </si>
  <si>
    <t>Construcción de rampa para discapacitados (Incluye excavación de zapata, terminaciones de pañete, colocación de bloques, vaciado de torta de piso de hormigón, etc.)</t>
  </si>
  <si>
    <r>
      <t xml:space="preserve">FECHA                                     </t>
    </r>
    <r>
      <rPr>
        <sz val="12"/>
        <color rgb="FF000000"/>
        <rFont val="Arial Narrow"/>
        <family val="2"/>
      </rPr>
      <t>22 de febrero de 2024</t>
    </r>
  </si>
  <si>
    <t>2024-002 O</t>
  </si>
  <si>
    <r>
      <t xml:space="preserve">DIRECCIÓN DEL PROYECTO   </t>
    </r>
    <r>
      <rPr>
        <sz val="12"/>
        <color rgb="FF000000"/>
        <rFont val="Arial Narrow"/>
        <family val="2"/>
      </rPr>
      <t>Juzgado de Paz de Ciudad Nueva</t>
    </r>
  </si>
  <si>
    <t>Desmonte de banco de granito</t>
  </si>
  <si>
    <t>Cierre de huecos en sheetrock</t>
  </si>
  <si>
    <t>Apertura de huecos en sheetrock</t>
  </si>
  <si>
    <t>Suministro e instalación de plafón 2" x 2" x 7mm vinil yeso (incluye estructura en metal Maint Tee y CrossTee)</t>
  </si>
  <si>
    <t>Suministro e instalación de puerta nueva en Caoba con jamba (1.00 x 2.30 mts)</t>
  </si>
  <si>
    <t>Mantenimiento y reinstalación de puertas de madera existente incluye desmonte, pulido, masillado y pintura )</t>
  </si>
  <si>
    <t>Suministro y colocación de pisos de vibrazo en rampa para discapacitados</t>
  </si>
  <si>
    <t>Suministro e instalación de salidas de data</t>
  </si>
  <si>
    <t>Reubicación de drenajes de aires acondicionados</t>
  </si>
  <si>
    <t>NÚMERO DE CARPETA</t>
  </si>
  <si>
    <t>Suministro e instalación de pisos de porcelanato en baños</t>
  </si>
  <si>
    <t>Demolición de piso de porcelanato existente</t>
  </si>
  <si>
    <t>Suministro e instalación de baranda de acero inoxidable en rampa para discapacitados</t>
  </si>
  <si>
    <t>Suministro e instalación de toldo en tela y tubos de hierro galvanizado</t>
  </si>
  <si>
    <t xml:space="preserve">Suministro e instalación de piso en porcelanato 60 x 60 cms tono gris </t>
  </si>
  <si>
    <t xml:space="preserve">Suministro e instalación de zócalos en porcelanato  </t>
  </si>
  <si>
    <t>Demolición de zócalos de porcelanato existente</t>
  </si>
  <si>
    <t>Suministro e instalación de lámparas 2" x 2" parabólicas con tubos LED</t>
  </si>
  <si>
    <t>PISOS Y REVESTIMIENTO</t>
  </si>
  <si>
    <t>Suministro e instalación de porcelanato de pared 30 x 60 cms</t>
  </si>
  <si>
    <t xml:space="preserve">Suministro e instalación de desagüe de piso de 2" con parilla cuadrada </t>
  </si>
  <si>
    <r>
      <t xml:space="preserve">NOMBRE DEL PROYECTO       </t>
    </r>
    <r>
      <rPr>
        <sz val="12"/>
        <color rgb="FF000000"/>
        <rFont val="Arial Narrow"/>
        <family val="2"/>
      </rPr>
      <t>Lote 1 Readecuación de espacio en el Juzgado de Paz de Ciudad Nueva para alojar el Centro de Mediación del D.N.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</si>
</sst>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RD$&quot;* #,##0.00_);_(&quot;RD$&quot;* \(#,##0.00\);_(&quot;RD$&quot;* &quot;-&quot;??_);_(@_)"/>
    <numFmt numFmtId="166" formatCode="0.000"/>
    <numFmt numFmtId="167" formatCode="0.0%"/>
    <numFmt numFmtId="168" formatCode="0.000%"/>
    <numFmt numFmtId="169" formatCode="&quot;RD$&quot;#,##0.00"/>
    <numFmt numFmtId="170" formatCode="#,##0.000"/>
    <numFmt numFmtId="171" formatCode="0.0000"/>
    <numFmt numFmtId="172" formatCode="[$$-2C0A]\ 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64"/>
      <name val="Calibri"/>
      <family val="2"/>
      <scheme val="minor"/>
    </font>
    <font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64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43" fontId="13" fillId="0" borderId="0" applyFont="0" applyFill="0" applyBorder="0" applyAlignment="0" applyProtection="0"/>
    <xf numFmtId="0" fontId="3" fillId="0" borderId="0"/>
  </cellStyleXfs>
  <cellXfs count="207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2" fillId="0" borderId="0" xfId="0" applyFont="1"/>
    <xf numFmtId="164" fontId="9" fillId="4" borderId="2" xfId="0" applyNumberFormat="1" applyFont="1" applyFill="1" applyBorder="1" applyAlignment="1">
      <alignment horizontal="right" vertical="center"/>
    </xf>
    <xf numFmtId="2" fontId="5" fillId="4" borderId="3" xfId="0" applyNumberFormat="1" applyFont="1" applyFill="1" applyBorder="1" applyAlignment="1">
      <alignment vertical="center"/>
    </xf>
    <xf numFmtId="4" fontId="5" fillId="4" borderId="3" xfId="1" applyNumberFormat="1" applyFont="1" applyFill="1" applyBorder="1" applyAlignment="1">
      <alignment horizontal="center" vertical="center"/>
    </xf>
    <xf numFmtId="43" fontId="5" fillId="4" borderId="3" xfId="1" applyFont="1" applyFill="1" applyBorder="1" applyAlignment="1">
      <alignment horizontal="center" vertical="center"/>
    </xf>
    <xf numFmtId="40" fontId="5" fillId="4" borderId="3" xfId="1" applyNumberFormat="1" applyFont="1" applyFill="1" applyBorder="1" applyAlignment="1">
      <alignment horizontal="right" vertical="center"/>
    </xf>
    <xf numFmtId="165" fontId="5" fillId="4" borderId="8" xfId="2" applyNumberFormat="1" applyFont="1" applyFill="1" applyBorder="1" applyAlignment="1">
      <alignment horizontal="right" vertical="center"/>
    </xf>
    <xf numFmtId="0" fontId="9" fillId="5" borderId="5" xfId="0" applyFont="1" applyFill="1" applyBorder="1" applyAlignment="1">
      <alignment vertical="center" wrapText="1"/>
    </xf>
    <xf numFmtId="0" fontId="4" fillId="0" borderId="0" xfId="3"/>
    <xf numFmtId="43" fontId="9" fillId="0" borderId="11" xfId="1" applyFont="1" applyFill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9" fillId="0" borderId="0" xfId="0" applyFont="1"/>
    <xf numFmtId="0" fontId="14" fillId="0" borderId="0" xfId="0" applyFont="1" applyAlignment="1">
      <alignment vertical="top"/>
    </xf>
    <xf numFmtId="40" fontId="5" fillId="4" borderId="3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0" fontId="14" fillId="0" borderId="2" xfId="0" applyFont="1" applyBorder="1" applyAlignment="1">
      <alignment wrapText="1"/>
    </xf>
    <xf numFmtId="2" fontId="14" fillId="0" borderId="3" xfId="0" applyNumberFormat="1" applyFont="1" applyBorder="1" applyAlignment="1">
      <alignment horizontal="center"/>
    </xf>
    <xf numFmtId="169" fontId="14" fillId="0" borderId="3" xfId="0" applyNumberFormat="1" applyFont="1" applyBorder="1" applyAlignment="1">
      <alignment horizontal="center"/>
    </xf>
    <xf numFmtId="169" fontId="15" fillId="0" borderId="8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2" fontId="14" fillId="0" borderId="0" xfId="0" applyNumberFormat="1" applyFont="1" applyAlignment="1">
      <alignment horizontal="center"/>
    </xf>
    <xf numFmtId="169" fontId="14" fillId="0" borderId="0" xfId="0" applyNumberFormat="1" applyFont="1" applyAlignment="1">
      <alignment horizontal="center"/>
    </xf>
    <xf numFmtId="169" fontId="15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166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9" fontId="17" fillId="0" borderId="0" xfId="0" applyNumberFormat="1" applyFont="1" applyAlignment="1">
      <alignment horizontal="center"/>
    </xf>
    <xf numFmtId="0" fontId="17" fillId="0" borderId="0" xfId="0" applyFont="1"/>
    <xf numFmtId="2" fontId="14" fillId="0" borderId="1" xfId="0" applyNumberFormat="1" applyFont="1" applyBorder="1" applyAlignment="1">
      <alignment vertical="top"/>
    </xf>
    <xf numFmtId="2" fontId="14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20" fillId="0" borderId="0" xfId="0" applyFont="1"/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2" fillId="6" borderId="2" xfId="0" applyFont="1" applyFill="1" applyBorder="1"/>
    <xf numFmtId="0" fontId="23" fillId="6" borderId="3" xfId="0" applyFont="1" applyFill="1" applyBorder="1" applyAlignment="1">
      <alignment wrapText="1"/>
    </xf>
    <xf numFmtId="0" fontId="22" fillId="6" borderId="3" xfId="0" applyFont="1" applyFill="1" applyBorder="1"/>
    <xf numFmtId="0" fontId="22" fillId="6" borderId="1" xfId="0" applyFont="1" applyFill="1" applyBorder="1" applyAlignment="1">
      <alignment wrapText="1"/>
    </xf>
    <xf numFmtId="2" fontId="22" fillId="6" borderId="1" xfId="0" applyNumberFormat="1" applyFont="1" applyFill="1" applyBorder="1"/>
    <xf numFmtId="0" fontId="24" fillId="0" borderId="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10" applyFont="1" applyBorder="1" applyAlignment="1">
      <alignment vertical="center"/>
    </xf>
    <xf numFmtId="170" fontId="3" fillId="0" borderId="13" xfId="10" applyNumberFormat="1" applyBorder="1" applyAlignment="1">
      <alignment horizontal="center" vertical="center"/>
    </xf>
    <xf numFmtId="0" fontId="0" fillId="0" borderId="13" xfId="10" applyFont="1" applyBorder="1" applyAlignment="1">
      <alignment horizontal="center" vertical="center"/>
    </xf>
    <xf numFmtId="4" fontId="3" fillId="0" borderId="13" xfId="10" applyNumberFormat="1" applyBorder="1" applyAlignment="1">
      <alignment horizontal="right" vertical="center"/>
    </xf>
    <xf numFmtId="169" fontId="0" fillId="0" borderId="14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1" xfId="0" applyBorder="1"/>
    <xf numFmtId="169" fontId="22" fillId="0" borderId="1" xfId="0" applyNumberFormat="1" applyFont="1" applyBorder="1" applyAlignment="1">
      <alignment horizontal="center"/>
    </xf>
    <xf numFmtId="0" fontId="21" fillId="0" borderId="0" xfId="0" applyFont="1"/>
    <xf numFmtId="0" fontId="0" fillId="7" borderId="0" xfId="0" applyFill="1"/>
    <xf numFmtId="0" fontId="22" fillId="7" borderId="0" xfId="0" applyFont="1" applyFill="1"/>
    <xf numFmtId="0" fontId="0" fillId="0" borderId="0" xfId="0" applyAlignment="1">
      <alignment horizontal="center" vertical="center" wrapText="1"/>
    </xf>
    <xf numFmtId="0" fontId="0" fillId="0" borderId="13" xfId="10" applyFont="1" applyBorder="1" applyAlignment="1">
      <alignment vertical="center" wrapText="1"/>
    </xf>
    <xf numFmtId="4" fontId="17" fillId="0" borderId="0" xfId="0" applyNumberFormat="1" applyFont="1"/>
    <xf numFmtId="0" fontId="17" fillId="0" borderId="13" xfId="10" applyFont="1" applyBorder="1" applyAlignment="1">
      <alignment vertical="center"/>
    </xf>
    <xf numFmtId="170" fontId="25" fillId="0" borderId="13" xfId="1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169" fontId="22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26" fillId="0" borderId="0" xfId="0" applyFont="1"/>
    <xf numFmtId="171" fontId="17" fillId="0" borderId="0" xfId="0" applyNumberFormat="1" applyFont="1" applyAlignment="1">
      <alignment horizontal="center"/>
    </xf>
    <xf numFmtId="4" fontId="26" fillId="0" borderId="0" xfId="0" applyNumberFormat="1" applyFont="1"/>
    <xf numFmtId="0" fontId="5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65" fontId="5" fillId="4" borderId="7" xfId="2" applyNumberFormat="1" applyFont="1" applyFill="1" applyBorder="1" applyAlignment="1">
      <alignment horizontal="right" vertical="center"/>
    </xf>
    <xf numFmtId="2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right"/>
    </xf>
    <xf numFmtId="166" fontId="10" fillId="3" borderId="0" xfId="0" applyNumberFormat="1" applyFont="1" applyFill="1" applyAlignment="1">
      <alignment horizontal="right"/>
    </xf>
    <xf numFmtId="0" fontId="10" fillId="0" borderId="0" xfId="0" applyFont="1"/>
    <xf numFmtId="43" fontId="10" fillId="0" borderId="0" xfId="8" applyFont="1" applyAlignment="1">
      <alignment horizontal="center"/>
    </xf>
    <xf numFmtId="10" fontId="10" fillId="0" borderId="0" xfId="8" applyNumberFormat="1" applyFont="1" applyAlignment="1"/>
    <xf numFmtId="40" fontId="10" fillId="0" borderId="0" xfId="8" applyNumberFormat="1" applyFont="1" applyAlignment="1">
      <alignment horizontal="right"/>
    </xf>
    <xf numFmtId="167" fontId="10" fillId="0" borderId="0" xfId="9" applyNumberFormat="1" applyFont="1" applyAlignment="1">
      <alignment horizontal="right"/>
    </xf>
    <xf numFmtId="43" fontId="10" fillId="0" borderId="0" xfId="8" applyFont="1" applyAlignment="1"/>
    <xf numFmtId="166" fontId="10" fillId="0" borderId="0" xfId="9" applyNumberFormat="1" applyFont="1" applyAlignment="1">
      <alignment horizontal="right"/>
    </xf>
    <xf numFmtId="168" fontId="10" fillId="0" borderId="0" xfId="9" applyNumberFormat="1" applyFont="1" applyAlignment="1">
      <alignment horizontal="right"/>
    </xf>
    <xf numFmtId="0" fontId="29" fillId="8" borderId="0" xfId="0" applyFont="1" applyFill="1" applyAlignment="1">
      <alignment wrapText="1"/>
    </xf>
    <xf numFmtId="0" fontId="29" fillId="2" borderId="18" xfId="0" applyFont="1" applyFill="1" applyBorder="1" applyAlignment="1">
      <alignment wrapText="1"/>
    </xf>
    <xf numFmtId="0" fontId="29" fillId="2" borderId="0" xfId="0" applyFont="1" applyFill="1" applyAlignment="1">
      <alignment wrapText="1"/>
    </xf>
    <xf numFmtId="0" fontId="2" fillId="8" borderId="0" xfId="0" applyFont="1" applyFill="1"/>
    <xf numFmtId="0" fontId="30" fillId="8" borderId="0" xfId="0" applyFont="1" applyFill="1"/>
    <xf numFmtId="0" fontId="32" fillId="8" borderId="0" xfId="0" applyFont="1" applyFill="1" applyAlignment="1">
      <alignment wrapText="1"/>
    </xf>
    <xf numFmtId="0" fontId="32" fillId="8" borderId="0" xfId="0" applyFont="1" applyFill="1"/>
    <xf numFmtId="0" fontId="31" fillId="8" borderId="0" xfId="0" applyFont="1" applyFill="1"/>
    <xf numFmtId="0" fontId="35" fillId="8" borderId="0" xfId="0" applyFont="1" applyFill="1"/>
    <xf numFmtId="0" fontId="29" fillId="8" borderId="0" xfId="0" applyFont="1" applyFill="1"/>
    <xf numFmtId="0" fontId="33" fillId="8" borderId="0" xfId="0" applyFont="1" applyFill="1" applyAlignment="1">
      <alignment wrapText="1"/>
    </xf>
    <xf numFmtId="0" fontId="36" fillId="8" borderId="0" xfId="0" applyFont="1" applyFill="1"/>
    <xf numFmtId="0" fontId="29" fillId="10" borderId="21" xfId="0" applyFont="1" applyFill="1" applyBorder="1" applyAlignment="1">
      <alignment horizontal="center" vertical="center"/>
    </xf>
    <xf numFmtId="0" fontId="29" fillId="10" borderId="22" xfId="0" applyFont="1" applyFill="1" applyBorder="1" applyAlignment="1">
      <alignment horizontal="center" vertical="center"/>
    </xf>
    <xf numFmtId="0" fontId="29" fillId="10" borderId="23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 wrapText="1"/>
    </xf>
    <xf numFmtId="0" fontId="29" fillId="10" borderId="22" xfId="0" applyFont="1" applyFill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left" vertical="center" wrapText="1"/>
    </xf>
    <xf numFmtId="4" fontId="10" fillId="0" borderId="1" xfId="12" applyNumberFormat="1" applyFont="1" applyBorder="1" applyAlignment="1">
      <alignment horizontal="center" vertical="center"/>
    </xf>
    <xf numFmtId="172" fontId="10" fillId="3" borderId="1" xfId="0" applyNumberFormat="1" applyFont="1" applyFill="1" applyBorder="1" applyAlignment="1">
      <alignment horizontal="left" vertical="center" wrapText="1"/>
    </xf>
    <xf numFmtId="4" fontId="10" fillId="3" borderId="1" xfId="12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vertical="center"/>
    </xf>
    <xf numFmtId="4" fontId="5" fillId="3" borderId="0" xfId="1" applyNumberFormat="1" applyFont="1" applyFill="1" applyBorder="1" applyAlignment="1">
      <alignment horizontal="center" vertical="center"/>
    </xf>
    <xf numFmtId="43" fontId="5" fillId="3" borderId="0" xfId="1" applyFont="1" applyFill="1" applyBorder="1" applyAlignment="1">
      <alignment horizontal="center" vertical="center"/>
    </xf>
    <xf numFmtId="40" fontId="5" fillId="3" borderId="0" xfId="1" applyNumberFormat="1" applyFont="1" applyFill="1" applyBorder="1" applyAlignment="1">
      <alignment horizontal="center" vertical="center"/>
    </xf>
    <xf numFmtId="40" fontId="5" fillId="3" borderId="0" xfId="1" applyNumberFormat="1" applyFont="1" applyFill="1" applyBorder="1" applyAlignment="1">
      <alignment horizontal="right" vertical="center"/>
    </xf>
    <xf numFmtId="165" fontId="5" fillId="3" borderId="0" xfId="2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right" vertical="center"/>
    </xf>
    <xf numFmtId="2" fontId="9" fillId="0" borderId="2" xfId="0" applyNumberFormat="1" applyFont="1" applyBorder="1" applyAlignment="1">
      <alignment horizontal="center" vertical="center"/>
    </xf>
    <xf numFmtId="43" fontId="9" fillId="0" borderId="30" xfId="1" applyFont="1" applyFill="1" applyBorder="1" applyAlignment="1">
      <alignment horizontal="center" vertical="center"/>
    </xf>
    <xf numFmtId="43" fontId="9" fillId="0" borderId="8" xfId="1" applyFont="1" applyFill="1" applyBorder="1" applyAlignment="1">
      <alignment horizontal="right" vertical="center"/>
    </xf>
    <xf numFmtId="2" fontId="9" fillId="0" borderId="31" xfId="0" applyNumberFormat="1" applyFont="1" applyBorder="1" applyAlignment="1">
      <alignment horizontal="center" vertical="center"/>
    </xf>
    <xf numFmtId="43" fontId="9" fillId="0" borderId="32" xfId="1" applyFont="1" applyFill="1" applyBorder="1" applyAlignment="1">
      <alignment horizontal="center" vertical="center"/>
    </xf>
    <xf numFmtId="43" fontId="9" fillId="0" borderId="33" xfId="1" applyFont="1" applyFill="1" applyBorder="1" applyAlignment="1">
      <alignment horizontal="right" vertical="center"/>
    </xf>
    <xf numFmtId="2" fontId="9" fillId="0" borderId="34" xfId="0" applyNumberFormat="1" applyFont="1" applyBorder="1" applyAlignment="1">
      <alignment horizontal="center" vertical="center"/>
    </xf>
    <xf numFmtId="43" fontId="9" fillId="0" borderId="35" xfId="1" applyFont="1" applyFill="1" applyBorder="1" applyAlignment="1">
      <alignment horizontal="center" vertical="center"/>
    </xf>
    <xf numFmtId="43" fontId="9" fillId="0" borderId="36" xfId="1" applyFont="1" applyFill="1" applyBorder="1" applyAlignment="1">
      <alignment horizontal="right" vertical="center"/>
    </xf>
    <xf numFmtId="43" fontId="9" fillId="0" borderId="37" xfId="1" applyFont="1" applyFill="1" applyBorder="1" applyAlignment="1">
      <alignment horizontal="right" vertical="center"/>
    </xf>
    <xf numFmtId="2" fontId="9" fillId="0" borderId="38" xfId="0" applyNumberFormat="1" applyFont="1" applyBorder="1" applyAlignment="1">
      <alignment horizontal="center" vertical="center"/>
    </xf>
    <xf numFmtId="43" fontId="9" fillId="0" borderId="39" xfId="1" applyFont="1" applyFill="1" applyBorder="1" applyAlignment="1">
      <alignment horizontal="right" vertical="center"/>
    </xf>
    <xf numFmtId="2" fontId="9" fillId="3" borderId="1" xfId="0" applyNumberFormat="1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right" vertical="center"/>
    </xf>
    <xf numFmtId="2" fontId="6" fillId="3" borderId="0" xfId="0" applyNumberFormat="1" applyFont="1" applyFill="1" applyBorder="1" applyAlignment="1">
      <alignment vertical="center"/>
    </xf>
    <xf numFmtId="2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right" vertical="center"/>
    </xf>
    <xf numFmtId="2" fontId="5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wrapText="1"/>
    </xf>
    <xf numFmtId="0" fontId="27" fillId="3" borderId="0" xfId="0" applyFont="1" applyFill="1" applyAlignment="1">
      <alignment wrapText="1"/>
    </xf>
    <xf numFmtId="0" fontId="28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2" fontId="6" fillId="3" borderId="0" xfId="0" applyNumberFormat="1" applyFont="1" applyFill="1" applyAlignment="1">
      <alignment horizontal="center"/>
    </xf>
    <xf numFmtId="0" fontId="5" fillId="3" borderId="0" xfId="0" applyFont="1" applyFill="1"/>
    <xf numFmtId="2" fontId="10" fillId="3" borderId="0" xfId="0" applyNumberFormat="1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10" fontId="10" fillId="0" borderId="0" xfId="9" applyNumberFormat="1" applyFont="1" applyAlignment="1">
      <alignment horizontal="center"/>
    </xf>
    <xf numFmtId="2" fontId="6" fillId="4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vertical="center"/>
    </xf>
    <xf numFmtId="2" fontId="5" fillId="4" borderId="9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vertical="center"/>
    </xf>
    <xf numFmtId="10" fontId="5" fillId="4" borderId="9" xfId="0" applyNumberFormat="1" applyFont="1" applyFill="1" applyBorder="1" applyAlignment="1">
      <alignment horizontal="center" vertical="center"/>
    </xf>
    <xf numFmtId="165" fontId="5" fillId="4" borderId="10" xfId="6" applyFont="1" applyFill="1" applyBorder="1" applyAlignment="1">
      <alignment horizontal="center"/>
    </xf>
    <xf numFmtId="165" fontId="5" fillId="4" borderId="10" xfId="6" applyFont="1" applyFill="1" applyBorder="1" applyAlignment="1">
      <alignment horizontal="right"/>
    </xf>
    <xf numFmtId="10" fontId="5" fillId="4" borderId="9" xfId="7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/>
    <xf numFmtId="0" fontId="5" fillId="4" borderId="3" xfId="0" applyFont="1" applyFill="1" applyBorder="1" applyAlignment="1">
      <alignment horizontal="left"/>
    </xf>
    <xf numFmtId="2" fontId="5" fillId="4" borderId="3" xfId="0" applyNumberFormat="1" applyFont="1" applyFill="1" applyBorder="1" applyAlignment="1">
      <alignment horizontal="center"/>
    </xf>
    <xf numFmtId="166" fontId="5" fillId="4" borderId="3" xfId="1" applyNumberFormat="1" applyFont="1" applyFill="1" applyBorder="1" applyAlignment="1">
      <alignment horizontal="right"/>
    </xf>
    <xf numFmtId="166" fontId="5" fillId="4" borderId="3" xfId="1" applyNumberFormat="1" applyFont="1" applyFill="1" applyBorder="1" applyAlignment="1">
      <alignment horizontal="center"/>
    </xf>
    <xf numFmtId="165" fontId="5" fillId="4" borderId="8" xfId="6" applyFont="1" applyFill="1" applyBorder="1" applyAlignment="1">
      <alignment horizontal="right"/>
    </xf>
    <xf numFmtId="0" fontId="5" fillId="3" borderId="20" xfId="0" applyFont="1" applyFill="1" applyBorder="1" applyAlignment="1">
      <alignment wrapText="1"/>
    </xf>
    <xf numFmtId="0" fontId="31" fillId="8" borderId="0" xfId="0" applyFont="1" applyFill="1"/>
    <xf numFmtId="0" fontId="32" fillId="9" borderId="19" xfId="0" applyFont="1" applyFill="1" applyBorder="1" applyAlignment="1">
      <alignment horizontal="center" wrapText="1"/>
    </xf>
    <xf numFmtId="0" fontId="32" fillId="9" borderId="0" xfId="0" applyFont="1" applyFill="1" applyAlignment="1">
      <alignment horizontal="center" wrapText="1"/>
    </xf>
    <xf numFmtId="0" fontId="29" fillId="8" borderId="0" xfId="0" applyFont="1" applyFill="1"/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2" fontId="2" fillId="3" borderId="24" xfId="0" applyNumberFormat="1" applyFont="1" applyFill="1" applyBorder="1" applyProtection="1">
      <protection locked="0"/>
    </xf>
    <xf numFmtId="0" fontId="29" fillId="3" borderId="25" xfId="0" applyFont="1" applyFill="1" applyBorder="1" applyAlignment="1" applyProtection="1">
      <alignment horizontal="left" wrapText="1"/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43" fontId="2" fillId="3" borderId="25" xfId="0" applyNumberFormat="1" applyFont="1" applyFill="1" applyBorder="1" applyProtection="1">
      <protection locked="0"/>
    </xf>
    <xf numFmtId="0" fontId="2" fillId="3" borderId="25" xfId="0" applyFont="1" applyFill="1" applyBorder="1" applyProtection="1">
      <protection locked="0"/>
    </xf>
    <xf numFmtId="0" fontId="30" fillId="11" borderId="40" xfId="0" applyFont="1" applyFill="1" applyBorder="1" applyProtection="1">
      <protection locked="0"/>
    </xf>
    <xf numFmtId="0" fontId="31" fillId="11" borderId="26" xfId="0" applyFont="1" applyFill="1" applyBorder="1" applyProtection="1">
      <protection locked="0"/>
    </xf>
    <xf numFmtId="0" fontId="29" fillId="3" borderId="0" xfId="0" applyFont="1" applyFill="1" applyBorder="1" applyAlignment="1" applyProtection="1">
      <alignment horizontal="left" vertical="center" wrapText="1"/>
      <protection locked="0"/>
    </xf>
    <xf numFmtId="0" fontId="29" fillId="3" borderId="0" xfId="0" applyFont="1" applyFill="1" applyBorder="1" applyAlignment="1" applyProtection="1">
      <alignment horizontal="left" wrapText="1"/>
      <protection locked="0"/>
    </xf>
    <xf numFmtId="43" fontId="2" fillId="3" borderId="0" xfId="0" applyNumberFormat="1" applyFont="1" applyFill="1" applyBorder="1" applyProtection="1">
      <protection locked="0"/>
    </xf>
    <xf numFmtId="0" fontId="2" fillId="3" borderId="41" xfId="0" applyFont="1" applyFill="1" applyBorder="1" applyProtection="1">
      <protection locked="0"/>
    </xf>
    <xf numFmtId="0" fontId="29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Protection="1">
      <protection locked="0"/>
    </xf>
    <xf numFmtId="0" fontId="30" fillId="11" borderId="41" xfId="0" applyFon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0" fontId="29" fillId="3" borderId="28" xfId="0" applyFont="1" applyFill="1" applyBorder="1" applyAlignment="1" applyProtection="1">
      <alignment wrapText="1"/>
      <protection locked="0"/>
    </xf>
    <xf numFmtId="0" fontId="29" fillId="11" borderId="29" xfId="0" applyFont="1" applyFill="1" applyBorder="1" applyAlignment="1" applyProtection="1">
      <alignment wrapText="1"/>
      <protection locked="0"/>
    </xf>
    <xf numFmtId="0" fontId="32" fillId="9" borderId="19" xfId="0" applyFont="1" applyFill="1" applyBorder="1" applyAlignment="1" applyProtection="1">
      <alignment horizontal="center" vertical="center" wrapText="1"/>
      <protection locked="0"/>
    </xf>
    <xf numFmtId="0" fontId="32" fillId="9" borderId="0" xfId="0" applyFont="1" applyFill="1" applyAlignment="1" applyProtection="1">
      <alignment horizontal="center" vertical="center" wrapText="1"/>
      <protection locked="0"/>
    </xf>
    <xf numFmtId="0" fontId="32" fillId="2" borderId="19" xfId="0" applyFont="1" applyFill="1" applyBorder="1" applyProtection="1">
      <protection locked="0"/>
    </xf>
    <xf numFmtId="0" fontId="32" fillId="2" borderId="0" xfId="0" applyFont="1" applyFill="1" applyProtection="1">
      <protection locked="0"/>
    </xf>
    <xf numFmtId="0" fontId="33" fillId="2" borderId="5" xfId="0" applyFont="1" applyFill="1" applyBorder="1" applyAlignment="1" applyProtection="1">
      <alignment horizontal="left" vertical="center" wrapText="1"/>
      <protection locked="0"/>
    </xf>
    <xf numFmtId="0" fontId="33" fillId="2" borderId="6" xfId="0" applyFont="1" applyFill="1" applyBorder="1" applyAlignment="1" applyProtection="1">
      <alignment horizontal="left" vertical="center" wrapText="1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5" fillId="2" borderId="4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left" vertical="center" wrapText="1"/>
      <protection locked="0"/>
    </xf>
    <xf numFmtId="0" fontId="33" fillId="2" borderId="19" xfId="0" applyFont="1" applyFill="1" applyBorder="1" applyAlignment="1" applyProtection="1">
      <alignment wrapText="1"/>
      <protection locked="0"/>
    </xf>
    <xf numFmtId="0" fontId="33" fillId="2" borderId="0" xfId="0" applyFont="1" applyFill="1" applyAlignment="1" applyProtection="1">
      <alignment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40" fontId="5" fillId="4" borderId="3" xfId="1" applyNumberFormat="1" applyFont="1" applyFill="1" applyBorder="1" applyAlignment="1" applyProtection="1">
      <alignment horizontal="center" vertical="center"/>
      <protection locked="0"/>
    </xf>
    <xf numFmtId="40" fontId="5" fillId="3" borderId="0" xfId="1" applyNumberFormat="1" applyFont="1" applyFill="1" applyBorder="1" applyAlignment="1" applyProtection="1">
      <alignment horizontal="center" vertical="center"/>
      <protection locked="0"/>
    </xf>
    <xf numFmtId="2" fontId="6" fillId="3" borderId="0" xfId="0" applyNumberFormat="1" applyFont="1" applyFill="1" applyBorder="1" applyAlignment="1" applyProtection="1">
      <alignment vertical="center"/>
      <protection locked="0"/>
    </xf>
  </cellXfs>
  <cellStyles count="13">
    <cellStyle name="Millares" xfId="1" builtinId="3"/>
    <cellStyle name="Millares 2" xfId="8"/>
    <cellStyle name="Millares 2 32" xfId="5"/>
    <cellStyle name="Millares 5" xfId="11"/>
    <cellStyle name="Moneda" xfId="2" builtinId="4"/>
    <cellStyle name="Moneda 3" xfId="6"/>
    <cellStyle name="Normal" xfId="0" builtinId="0"/>
    <cellStyle name="Normal 2" xfId="4"/>
    <cellStyle name="Normal 2 2" xfId="12"/>
    <cellStyle name="Normal 3" xfId="3"/>
    <cellStyle name="Normal_Presupuesto Ampliacion Hospital Municipal Mata Hambre-Atencion Primaria 2" xfId="10"/>
    <cellStyle name="Porcentaje 2" xfId="7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Modelo%20para%20presupuesto%20de%20dignificacion/____Presupuesto%20La%20Roman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 Pres."/>
      <sheetName val="Analisis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Hoja1"/>
      <sheetName val="Hoja2"/>
      <sheetName val="____Presupuesto La Roman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view="pageBreakPreview" topLeftCell="A89" zoomScaleNormal="80" zoomScaleSheetLayoutView="100" workbookViewId="0">
      <selection activeCell="F68" sqref="F68"/>
    </sheetView>
  </sheetViews>
  <sheetFormatPr baseColWidth="10" defaultColWidth="11" defaultRowHeight="14.25" x14ac:dyDescent="0.2"/>
  <cols>
    <col min="1" max="1" width="8.42578125" style="1" customWidth="1"/>
    <col min="2" max="2" width="77.5703125" style="2" customWidth="1"/>
    <col min="3" max="3" width="11" style="3" customWidth="1"/>
    <col min="4" max="4" width="9.140625" style="3" customWidth="1"/>
    <col min="5" max="5" width="15.7109375" style="18" customWidth="1"/>
    <col min="6" max="6" width="17" style="3" customWidth="1"/>
    <col min="7" max="7" width="26.5703125" style="3" customWidth="1"/>
    <col min="8" max="8" width="15.28515625" style="3" bestFit="1" customWidth="1"/>
    <col min="9" max="9" width="14.42578125" style="3" bestFit="1" customWidth="1"/>
    <col min="10" max="11" width="9.140625" style="3"/>
    <col min="12" max="12" width="17.140625" style="3" customWidth="1"/>
    <col min="13" max="61" width="9.140625" style="3"/>
    <col min="62" max="62" width="6.140625" style="3" customWidth="1"/>
    <col min="63" max="63" width="41" style="3" customWidth="1"/>
    <col min="64" max="64" width="10.85546875" style="3" customWidth="1"/>
    <col min="65" max="65" width="8.7109375" style="3" customWidth="1"/>
    <col min="66" max="66" width="14.42578125" style="3" customWidth="1"/>
    <col min="67" max="67" width="15.7109375" style="3" bestFit="1" customWidth="1"/>
    <col min="68" max="68" width="15.7109375" style="3" customWidth="1"/>
    <col min="69" max="69" width="14.42578125" style="3" bestFit="1" customWidth="1"/>
    <col min="70" max="70" width="12.7109375" style="3" bestFit="1" customWidth="1"/>
    <col min="71" max="317" width="9.140625" style="3"/>
    <col min="318" max="318" width="6.140625" style="3" customWidth="1"/>
    <col min="319" max="319" width="41" style="3" customWidth="1"/>
    <col min="320" max="320" width="10.85546875" style="3" customWidth="1"/>
    <col min="321" max="321" width="8.7109375" style="3" customWidth="1"/>
    <col min="322" max="322" width="14.42578125" style="3" customWidth="1"/>
    <col min="323" max="323" width="15.7109375" style="3" bestFit="1" customWidth="1"/>
    <col min="324" max="324" width="15.7109375" style="3" customWidth="1"/>
    <col min="325" max="325" width="14.42578125" style="3" bestFit="1" customWidth="1"/>
    <col min="326" max="326" width="12.7109375" style="3" bestFit="1" customWidth="1"/>
    <col min="327" max="573" width="9.140625" style="3"/>
    <col min="574" max="574" width="6.140625" style="3" customWidth="1"/>
    <col min="575" max="575" width="41" style="3" customWidth="1"/>
    <col min="576" max="576" width="10.85546875" style="3" customWidth="1"/>
    <col min="577" max="577" width="8.7109375" style="3" customWidth="1"/>
    <col min="578" max="578" width="14.42578125" style="3" customWidth="1"/>
    <col min="579" max="579" width="15.7109375" style="3" bestFit="1" customWidth="1"/>
    <col min="580" max="580" width="15.7109375" style="3" customWidth="1"/>
    <col min="581" max="581" width="14.42578125" style="3" bestFit="1" customWidth="1"/>
    <col min="582" max="582" width="12.7109375" style="3" bestFit="1" customWidth="1"/>
    <col min="583" max="829" width="9.140625" style="3"/>
    <col min="830" max="830" width="6.140625" style="3" customWidth="1"/>
    <col min="831" max="831" width="41" style="3" customWidth="1"/>
    <col min="832" max="832" width="10.85546875" style="3" customWidth="1"/>
    <col min="833" max="833" width="8.7109375" style="3" customWidth="1"/>
    <col min="834" max="834" width="14.42578125" style="3" customWidth="1"/>
    <col min="835" max="835" width="15.7109375" style="3" bestFit="1" customWidth="1"/>
    <col min="836" max="836" width="15.7109375" style="3" customWidth="1"/>
    <col min="837" max="837" width="14.42578125" style="3" bestFit="1" customWidth="1"/>
    <col min="838" max="838" width="12.7109375" style="3" bestFit="1" customWidth="1"/>
    <col min="839" max="1085" width="9.140625" style="3"/>
    <col min="1086" max="1086" width="6.140625" style="3" customWidth="1"/>
    <col min="1087" max="1087" width="41" style="3" customWidth="1"/>
    <col min="1088" max="1088" width="10.85546875" style="3" customWidth="1"/>
    <col min="1089" max="1089" width="8.7109375" style="3" customWidth="1"/>
    <col min="1090" max="1090" width="14.42578125" style="3" customWidth="1"/>
    <col min="1091" max="1091" width="15.7109375" style="3" bestFit="1" customWidth="1"/>
    <col min="1092" max="1092" width="15.7109375" style="3" customWidth="1"/>
    <col min="1093" max="1093" width="14.42578125" style="3" bestFit="1" customWidth="1"/>
    <col min="1094" max="1094" width="12.7109375" style="3" bestFit="1" customWidth="1"/>
    <col min="1095" max="1341" width="9.140625" style="3"/>
    <col min="1342" max="1342" width="6.140625" style="3" customWidth="1"/>
    <col min="1343" max="1343" width="41" style="3" customWidth="1"/>
    <col min="1344" max="1344" width="10.85546875" style="3" customWidth="1"/>
    <col min="1345" max="1345" width="8.7109375" style="3" customWidth="1"/>
    <col min="1346" max="1346" width="14.42578125" style="3" customWidth="1"/>
    <col min="1347" max="1347" width="15.7109375" style="3" bestFit="1" customWidth="1"/>
    <col min="1348" max="1348" width="15.7109375" style="3" customWidth="1"/>
    <col min="1349" max="1349" width="14.42578125" style="3" bestFit="1" customWidth="1"/>
    <col min="1350" max="1350" width="12.7109375" style="3" bestFit="1" customWidth="1"/>
    <col min="1351" max="1597" width="9.140625" style="3"/>
    <col min="1598" max="1598" width="6.140625" style="3" customWidth="1"/>
    <col min="1599" max="1599" width="41" style="3" customWidth="1"/>
    <col min="1600" max="1600" width="10.85546875" style="3" customWidth="1"/>
    <col min="1601" max="1601" width="8.7109375" style="3" customWidth="1"/>
    <col min="1602" max="1602" width="14.42578125" style="3" customWidth="1"/>
    <col min="1603" max="1603" width="15.7109375" style="3" bestFit="1" customWidth="1"/>
    <col min="1604" max="1604" width="15.7109375" style="3" customWidth="1"/>
    <col min="1605" max="1605" width="14.42578125" style="3" bestFit="1" customWidth="1"/>
    <col min="1606" max="1606" width="12.7109375" style="3" bestFit="1" customWidth="1"/>
    <col min="1607" max="1853" width="9.140625" style="3"/>
    <col min="1854" max="1854" width="6.140625" style="3" customWidth="1"/>
    <col min="1855" max="1855" width="41" style="3" customWidth="1"/>
    <col min="1856" max="1856" width="10.85546875" style="3" customWidth="1"/>
    <col min="1857" max="1857" width="8.7109375" style="3" customWidth="1"/>
    <col min="1858" max="1858" width="14.42578125" style="3" customWidth="1"/>
    <col min="1859" max="1859" width="15.7109375" style="3" bestFit="1" customWidth="1"/>
    <col min="1860" max="1860" width="15.7109375" style="3" customWidth="1"/>
    <col min="1861" max="1861" width="14.42578125" style="3" bestFit="1" customWidth="1"/>
    <col min="1862" max="1862" width="12.7109375" style="3" bestFit="1" customWidth="1"/>
    <col min="1863" max="2109" width="9.140625" style="3"/>
    <col min="2110" max="2110" width="6.140625" style="3" customWidth="1"/>
    <col min="2111" max="2111" width="41" style="3" customWidth="1"/>
    <col min="2112" max="2112" width="10.85546875" style="3" customWidth="1"/>
    <col min="2113" max="2113" width="8.7109375" style="3" customWidth="1"/>
    <col min="2114" max="2114" width="14.42578125" style="3" customWidth="1"/>
    <col min="2115" max="2115" width="15.7109375" style="3" bestFit="1" customWidth="1"/>
    <col min="2116" max="2116" width="15.7109375" style="3" customWidth="1"/>
    <col min="2117" max="2117" width="14.42578125" style="3" bestFit="1" customWidth="1"/>
    <col min="2118" max="2118" width="12.7109375" style="3" bestFit="1" customWidth="1"/>
    <col min="2119" max="2365" width="9.140625" style="3"/>
    <col min="2366" max="2366" width="6.140625" style="3" customWidth="1"/>
    <col min="2367" max="2367" width="41" style="3" customWidth="1"/>
    <col min="2368" max="2368" width="10.85546875" style="3" customWidth="1"/>
    <col min="2369" max="2369" width="8.7109375" style="3" customWidth="1"/>
    <col min="2370" max="2370" width="14.42578125" style="3" customWidth="1"/>
    <col min="2371" max="2371" width="15.7109375" style="3" bestFit="1" customWidth="1"/>
    <col min="2372" max="2372" width="15.7109375" style="3" customWidth="1"/>
    <col min="2373" max="2373" width="14.42578125" style="3" bestFit="1" customWidth="1"/>
    <col min="2374" max="2374" width="12.7109375" style="3" bestFit="1" customWidth="1"/>
    <col min="2375" max="2621" width="9.140625" style="3"/>
    <col min="2622" max="2622" width="6.140625" style="3" customWidth="1"/>
    <col min="2623" max="2623" width="41" style="3" customWidth="1"/>
    <col min="2624" max="2624" width="10.85546875" style="3" customWidth="1"/>
    <col min="2625" max="2625" width="8.7109375" style="3" customWidth="1"/>
    <col min="2626" max="2626" width="14.42578125" style="3" customWidth="1"/>
    <col min="2627" max="2627" width="15.7109375" style="3" bestFit="1" customWidth="1"/>
    <col min="2628" max="2628" width="15.7109375" style="3" customWidth="1"/>
    <col min="2629" max="2629" width="14.42578125" style="3" bestFit="1" customWidth="1"/>
    <col min="2630" max="2630" width="12.7109375" style="3" bestFit="1" customWidth="1"/>
    <col min="2631" max="2877" width="9.140625" style="3"/>
    <col min="2878" max="2878" width="6.140625" style="3" customWidth="1"/>
    <col min="2879" max="2879" width="41" style="3" customWidth="1"/>
    <col min="2880" max="2880" width="10.85546875" style="3" customWidth="1"/>
    <col min="2881" max="2881" width="8.7109375" style="3" customWidth="1"/>
    <col min="2882" max="2882" width="14.42578125" style="3" customWidth="1"/>
    <col min="2883" max="2883" width="15.7109375" style="3" bestFit="1" customWidth="1"/>
    <col min="2884" max="2884" width="15.7109375" style="3" customWidth="1"/>
    <col min="2885" max="2885" width="14.42578125" style="3" bestFit="1" customWidth="1"/>
    <col min="2886" max="2886" width="12.7109375" style="3" bestFit="1" customWidth="1"/>
    <col min="2887" max="3133" width="9.140625" style="3"/>
    <col min="3134" max="3134" width="6.140625" style="3" customWidth="1"/>
    <col min="3135" max="3135" width="41" style="3" customWidth="1"/>
    <col min="3136" max="3136" width="10.85546875" style="3" customWidth="1"/>
    <col min="3137" max="3137" width="8.7109375" style="3" customWidth="1"/>
    <col min="3138" max="3138" width="14.42578125" style="3" customWidth="1"/>
    <col min="3139" max="3139" width="15.7109375" style="3" bestFit="1" customWidth="1"/>
    <col min="3140" max="3140" width="15.7109375" style="3" customWidth="1"/>
    <col min="3141" max="3141" width="14.42578125" style="3" bestFit="1" customWidth="1"/>
    <col min="3142" max="3142" width="12.7109375" style="3" bestFit="1" customWidth="1"/>
    <col min="3143" max="3389" width="9.140625" style="3"/>
    <col min="3390" max="3390" width="6.140625" style="3" customWidth="1"/>
    <col min="3391" max="3391" width="41" style="3" customWidth="1"/>
    <col min="3392" max="3392" width="10.85546875" style="3" customWidth="1"/>
    <col min="3393" max="3393" width="8.7109375" style="3" customWidth="1"/>
    <col min="3394" max="3394" width="14.42578125" style="3" customWidth="1"/>
    <col min="3395" max="3395" width="15.7109375" style="3" bestFit="1" customWidth="1"/>
    <col min="3396" max="3396" width="15.7109375" style="3" customWidth="1"/>
    <col min="3397" max="3397" width="14.42578125" style="3" bestFit="1" customWidth="1"/>
    <col min="3398" max="3398" width="12.7109375" style="3" bestFit="1" customWidth="1"/>
    <col min="3399" max="3645" width="9.140625" style="3"/>
    <col min="3646" max="3646" width="6.140625" style="3" customWidth="1"/>
    <col min="3647" max="3647" width="41" style="3" customWidth="1"/>
    <col min="3648" max="3648" width="10.85546875" style="3" customWidth="1"/>
    <col min="3649" max="3649" width="8.7109375" style="3" customWidth="1"/>
    <col min="3650" max="3650" width="14.42578125" style="3" customWidth="1"/>
    <col min="3651" max="3651" width="15.7109375" style="3" bestFit="1" customWidth="1"/>
    <col min="3652" max="3652" width="15.7109375" style="3" customWidth="1"/>
    <col min="3653" max="3653" width="14.42578125" style="3" bestFit="1" customWidth="1"/>
    <col min="3654" max="3654" width="12.7109375" style="3" bestFit="1" customWidth="1"/>
    <col min="3655" max="3901" width="9.140625" style="3"/>
    <col min="3902" max="3902" width="6.140625" style="3" customWidth="1"/>
    <col min="3903" max="3903" width="41" style="3" customWidth="1"/>
    <col min="3904" max="3904" width="10.85546875" style="3" customWidth="1"/>
    <col min="3905" max="3905" width="8.7109375" style="3" customWidth="1"/>
    <col min="3906" max="3906" width="14.42578125" style="3" customWidth="1"/>
    <col min="3907" max="3907" width="15.7109375" style="3" bestFit="1" customWidth="1"/>
    <col min="3908" max="3908" width="15.7109375" style="3" customWidth="1"/>
    <col min="3909" max="3909" width="14.42578125" style="3" bestFit="1" customWidth="1"/>
    <col min="3910" max="3910" width="12.7109375" style="3" bestFit="1" customWidth="1"/>
    <col min="3911" max="4157" width="9.140625" style="3"/>
    <col min="4158" max="4158" width="6.140625" style="3" customWidth="1"/>
    <col min="4159" max="4159" width="41" style="3" customWidth="1"/>
    <col min="4160" max="4160" width="10.85546875" style="3" customWidth="1"/>
    <col min="4161" max="4161" width="8.7109375" style="3" customWidth="1"/>
    <col min="4162" max="4162" width="14.42578125" style="3" customWidth="1"/>
    <col min="4163" max="4163" width="15.7109375" style="3" bestFit="1" customWidth="1"/>
    <col min="4164" max="4164" width="15.7109375" style="3" customWidth="1"/>
    <col min="4165" max="4165" width="14.42578125" style="3" bestFit="1" customWidth="1"/>
    <col min="4166" max="4166" width="12.7109375" style="3" bestFit="1" customWidth="1"/>
    <col min="4167" max="4413" width="9.140625" style="3"/>
    <col min="4414" max="4414" width="6.140625" style="3" customWidth="1"/>
    <col min="4415" max="4415" width="41" style="3" customWidth="1"/>
    <col min="4416" max="4416" width="10.85546875" style="3" customWidth="1"/>
    <col min="4417" max="4417" width="8.7109375" style="3" customWidth="1"/>
    <col min="4418" max="4418" width="14.42578125" style="3" customWidth="1"/>
    <col min="4419" max="4419" width="15.7109375" style="3" bestFit="1" customWidth="1"/>
    <col min="4420" max="4420" width="15.7109375" style="3" customWidth="1"/>
    <col min="4421" max="4421" width="14.42578125" style="3" bestFit="1" customWidth="1"/>
    <col min="4422" max="4422" width="12.7109375" style="3" bestFit="1" customWidth="1"/>
    <col min="4423" max="4669" width="9.140625" style="3"/>
    <col min="4670" max="4670" width="6.140625" style="3" customWidth="1"/>
    <col min="4671" max="4671" width="41" style="3" customWidth="1"/>
    <col min="4672" max="4672" width="10.85546875" style="3" customWidth="1"/>
    <col min="4673" max="4673" width="8.7109375" style="3" customWidth="1"/>
    <col min="4674" max="4674" width="14.42578125" style="3" customWidth="1"/>
    <col min="4675" max="4675" width="15.7109375" style="3" bestFit="1" customWidth="1"/>
    <col min="4676" max="4676" width="15.7109375" style="3" customWidth="1"/>
    <col min="4677" max="4677" width="14.42578125" style="3" bestFit="1" customWidth="1"/>
    <col min="4678" max="4678" width="12.7109375" style="3" bestFit="1" customWidth="1"/>
    <col min="4679" max="4925" width="9.140625" style="3"/>
    <col min="4926" max="4926" width="6.140625" style="3" customWidth="1"/>
    <col min="4927" max="4927" width="41" style="3" customWidth="1"/>
    <col min="4928" max="4928" width="10.85546875" style="3" customWidth="1"/>
    <col min="4929" max="4929" width="8.7109375" style="3" customWidth="1"/>
    <col min="4930" max="4930" width="14.42578125" style="3" customWidth="1"/>
    <col min="4931" max="4931" width="15.7109375" style="3" bestFit="1" customWidth="1"/>
    <col min="4932" max="4932" width="15.7109375" style="3" customWidth="1"/>
    <col min="4933" max="4933" width="14.42578125" style="3" bestFit="1" customWidth="1"/>
    <col min="4934" max="4934" width="12.7109375" style="3" bestFit="1" customWidth="1"/>
    <col min="4935" max="5181" width="9.140625" style="3"/>
    <col min="5182" max="5182" width="6.140625" style="3" customWidth="1"/>
    <col min="5183" max="5183" width="41" style="3" customWidth="1"/>
    <col min="5184" max="5184" width="10.85546875" style="3" customWidth="1"/>
    <col min="5185" max="5185" width="8.7109375" style="3" customWidth="1"/>
    <col min="5186" max="5186" width="14.42578125" style="3" customWidth="1"/>
    <col min="5187" max="5187" width="15.7109375" style="3" bestFit="1" customWidth="1"/>
    <col min="5188" max="5188" width="15.7109375" style="3" customWidth="1"/>
    <col min="5189" max="5189" width="14.42578125" style="3" bestFit="1" customWidth="1"/>
    <col min="5190" max="5190" width="12.7109375" style="3" bestFit="1" customWidth="1"/>
    <col min="5191" max="5437" width="9.140625" style="3"/>
    <col min="5438" max="5438" width="6.140625" style="3" customWidth="1"/>
    <col min="5439" max="5439" width="41" style="3" customWidth="1"/>
    <col min="5440" max="5440" width="10.85546875" style="3" customWidth="1"/>
    <col min="5441" max="5441" width="8.7109375" style="3" customWidth="1"/>
    <col min="5442" max="5442" width="14.42578125" style="3" customWidth="1"/>
    <col min="5443" max="5443" width="15.7109375" style="3" bestFit="1" customWidth="1"/>
    <col min="5444" max="5444" width="15.7109375" style="3" customWidth="1"/>
    <col min="5445" max="5445" width="14.42578125" style="3" bestFit="1" customWidth="1"/>
    <col min="5446" max="5446" width="12.7109375" style="3" bestFit="1" customWidth="1"/>
    <col min="5447" max="5693" width="9.140625" style="3"/>
    <col min="5694" max="5694" width="6.140625" style="3" customWidth="1"/>
    <col min="5695" max="5695" width="41" style="3" customWidth="1"/>
    <col min="5696" max="5696" width="10.85546875" style="3" customWidth="1"/>
    <col min="5697" max="5697" width="8.7109375" style="3" customWidth="1"/>
    <col min="5698" max="5698" width="14.42578125" style="3" customWidth="1"/>
    <col min="5699" max="5699" width="15.7109375" style="3" bestFit="1" customWidth="1"/>
    <col min="5700" max="5700" width="15.7109375" style="3" customWidth="1"/>
    <col min="5701" max="5701" width="14.42578125" style="3" bestFit="1" customWidth="1"/>
    <col min="5702" max="5702" width="12.7109375" style="3" bestFit="1" customWidth="1"/>
    <col min="5703" max="5949" width="9.140625" style="3"/>
    <col min="5950" max="5950" width="6.140625" style="3" customWidth="1"/>
    <col min="5951" max="5951" width="41" style="3" customWidth="1"/>
    <col min="5952" max="5952" width="10.85546875" style="3" customWidth="1"/>
    <col min="5953" max="5953" width="8.7109375" style="3" customWidth="1"/>
    <col min="5954" max="5954" width="14.42578125" style="3" customWidth="1"/>
    <col min="5955" max="5955" width="15.7109375" style="3" bestFit="1" customWidth="1"/>
    <col min="5956" max="5956" width="15.7109375" style="3" customWidth="1"/>
    <col min="5957" max="5957" width="14.42578125" style="3" bestFit="1" customWidth="1"/>
    <col min="5958" max="5958" width="12.7109375" style="3" bestFit="1" customWidth="1"/>
    <col min="5959" max="6205" width="9.140625" style="3"/>
    <col min="6206" max="6206" width="6.140625" style="3" customWidth="1"/>
    <col min="6207" max="6207" width="41" style="3" customWidth="1"/>
    <col min="6208" max="6208" width="10.85546875" style="3" customWidth="1"/>
    <col min="6209" max="6209" width="8.7109375" style="3" customWidth="1"/>
    <col min="6210" max="6210" width="14.42578125" style="3" customWidth="1"/>
    <col min="6211" max="6211" width="15.7109375" style="3" bestFit="1" customWidth="1"/>
    <col min="6212" max="6212" width="15.7109375" style="3" customWidth="1"/>
    <col min="6213" max="6213" width="14.42578125" style="3" bestFit="1" customWidth="1"/>
    <col min="6214" max="6214" width="12.7109375" style="3" bestFit="1" customWidth="1"/>
    <col min="6215" max="6461" width="9.140625" style="3"/>
    <col min="6462" max="6462" width="6.140625" style="3" customWidth="1"/>
    <col min="6463" max="6463" width="41" style="3" customWidth="1"/>
    <col min="6464" max="6464" width="10.85546875" style="3" customWidth="1"/>
    <col min="6465" max="6465" width="8.7109375" style="3" customWidth="1"/>
    <col min="6466" max="6466" width="14.42578125" style="3" customWidth="1"/>
    <col min="6467" max="6467" width="15.7109375" style="3" bestFit="1" customWidth="1"/>
    <col min="6468" max="6468" width="15.7109375" style="3" customWidth="1"/>
    <col min="6469" max="6469" width="14.42578125" style="3" bestFit="1" customWidth="1"/>
    <col min="6470" max="6470" width="12.7109375" style="3" bestFit="1" customWidth="1"/>
    <col min="6471" max="6717" width="9.140625" style="3"/>
    <col min="6718" max="6718" width="6.140625" style="3" customWidth="1"/>
    <col min="6719" max="6719" width="41" style="3" customWidth="1"/>
    <col min="6720" max="6720" width="10.85546875" style="3" customWidth="1"/>
    <col min="6721" max="6721" width="8.7109375" style="3" customWidth="1"/>
    <col min="6722" max="6722" width="14.42578125" style="3" customWidth="1"/>
    <col min="6723" max="6723" width="15.7109375" style="3" bestFit="1" customWidth="1"/>
    <col min="6724" max="6724" width="15.7109375" style="3" customWidth="1"/>
    <col min="6725" max="6725" width="14.42578125" style="3" bestFit="1" customWidth="1"/>
    <col min="6726" max="6726" width="12.7109375" style="3" bestFit="1" customWidth="1"/>
    <col min="6727" max="6973" width="9.140625" style="3"/>
    <col min="6974" max="6974" width="6.140625" style="3" customWidth="1"/>
    <col min="6975" max="6975" width="41" style="3" customWidth="1"/>
    <col min="6976" max="6976" width="10.85546875" style="3" customWidth="1"/>
    <col min="6977" max="6977" width="8.7109375" style="3" customWidth="1"/>
    <col min="6978" max="6978" width="14.42578125" style="3" customWidth="1"/>
    <col min="6979" max="6979" width="15.7109375" style="3" bestFit="1" customWidth="1"/>
    <col min="6980" max="6980" width="15.7109375" style="3" customWidth="1"/>
    <col min="6981" max="6981" width="14.42578125" style="3" bestFit="1" customWidth="1"/>
    <col min="6982" max="6982" width="12.7109375" style="3" bestFit="1" customWidth="1"/>
    <col min="6983" max="7229" width="9.140625" style="3"/>
    <col min="7230" max="7230" width="6.140625" style="3" customWidth="1"/>
    <col min="7231" max="7231" width="41" style="3" customWidth="1"/>
    <col min="7232" max="7232" width="10.85546875" style="3" customWidth="1"/>
    <col min="7233" max="7233" width="8.7109375" style="3" customWidth="1"/>
    <col min="7234" max="7234" width="14.42578125" style="3" customWidth="1"/>
    <col min="7235" max="7235" width="15.7109375" style="3" bestFit="1" customWidth="1"/>
    <col min="7236" max="7236" width="15.7109375" style="3" customWidth="1"/>
    <col min="7237" max="7237" width="14.42578125" style="3" bestFit="1" customWidth="1"/>
    <col min="7238" max="7238" width="12.7109375" style="3" bestFit="1" customWidth="1"/>
    <col min="7239" max="7485" width="9.140625" style="3"/>
    <col min="7486" max="7486" width="6.140625" style="3" customWidth="1"/>
    <col min="7487" max="7487" width="41" style="3" customWidth="1"/>
    <col min="7488" max="7488" width="10.85546875" style="3" customWidth="1"/>
    <col min="7489" max="7489" width="8.7109375" style="3" customWidth="1"/>
    <col min="7490" max="7490" width="14.42578125" style="3" customWidth="1"/>
    <col min="7491" max="7491" width="15.7109375" style="3" bestFit="1" customWidth="1"/>
    <col min="7492" max="7492" width="15.7109375" style="3" customWidth="1"/>
    <col min="7493" max="7493" width="14.42578125" style="3" bestFit="1" customWidth="1"/>
    <col min="7494" max="7494" width="12.7109375" style="3" bestFit="1" customWidth="1"/>
    <col min="7495" max="7741" width="9.140625" style="3"/>
    <col min="7742" max="7742" width="6.140625" style="3" customWidth="1"/>
    <col min="7743" max="7743" width="41" style="3" customWidth="1"/>
    <col min="7744" max="7744" width="10.85546875" style="3" customWidth="1"/>
    <col min="7745" max="7745" width="8.7109375" style="3" customWidth="1"/>
    <col min="7746" max="7746" width="14.42578125" style="3" customWidth="1"/>
    <col min="7747" max="7747" width="15.7109375" style="3" bestFit="1" customWidth="1"/>
    <col min="7748" max="7748" width="15.7109375" style="3" customWidth="1"/>
    <col min="7749" max="7749" width="14.42578125" style="3" bestFit="1" customWidth="1"/>
    <col min="7750" max="7750" width="12.7109375" style="3" bestFit="1" customWidth="1"/>
    <col min="7751" max="7997" width="9.140625" style="3"/>
    <col min="7998" max="7998" width="6.140625" style="3" customWidth="1"/>
    <col min="7999" max="7999" width="41" style="3" customWidth="1"/>
    <col min="8000" max="8000" width="10.85546875" style="3" customWidth="1"/>
    <col min="8001" max="8001" width="8.7109375" style="3" customWidth="1"/>
    <col min="8002" max="8002" width="14.42578125" style="3" customWidth="1"/>
    <col min="8003" max="8003" width="15.7109375" style="3" bestFit="1" customWidth="1"/>
    <col min="8004" max="8004" width="15.7109375" style="3" customWidth="1"/>
    <col min="8005" max="8005" width="14.42578125" style="3" bestFit="1" customWidth="1"/>
    <col min="8006" max="8006" width="12.7109375" style="3" bestFit="1" customWidth="1"/>
    <col min="8007" max="8253" width="9.140625" style="3"/>
    <col min="8254" max="8254" width="6.140625" style="3" customWidth="1"/>
    <col min="8255" max="8255" width="41" style="3" customWidth="1"/>
    <col min="8256" max="8256" width="10.85546875" style="3" customWidth="1"/>
    <col min="8257" max="8257" width="8.7109375" style="3" customWidth="1"/>
    <col min="8258" max="8258" width="14.42578125" style="3" customWidth="1"/>
    <col min="8259" max="8259" width="15.7109375" style="3" bestFit="1" customWidth="1"/>
    <col min="8260" max="8260" width="15.7109375" style="3" customWidth="1"/>
    <col min="8261" max="8261" width="14.42578125" style="3" bestFit="1" customWidth="1"/>
    <col min="8262" max="8262" width="12.7109375" style="3" bestFit="1" customWidth="1"/>
    <col min="8263" max="8509" width="9.140625" style="3"/>
    <col min="8510" max="8510" width="6.140625" style="3" customWidth="1"/>
    <col min="8511" max="8511" width="41" style="3" customWidth="1"/>
    <col min="8512" max="8512" width="10.85546875" style="3" customWidth="1"/>
    <col min="8513" max="8513" width="8.7109375" style="3" customWidth="1"/>
    <col min="8514" max="8514" width="14.42578125" style="3" customWidth="1"/>
    <col min="8515" max="8515" width="15.7109375" style="3" bestFit="1" customWidth="1"/>
    <col min="8516" max="8516" width="15.7109375" style="3" customWidth="1"/>
    <col min="8517" max="8517" width="14.42578125" style="3" bestFit="1" customWidth="1"/>
    <col min="8518" max="8518" width="12.7109375" style="3" bestFit="1" customWidth="1"/>
    <col min="8519" max="8765" width="9.140625" style="3"/>
    <col min="8766" max="8766" width="6.140625" style="3" customWidth="1"/>
    <col min="8767" max="8767" width="41" style="3" customWidth="1"/>
    <col min="8768" max="8768" width="10.85546875" style="3" customWidth="1"/>
    <col min="8769" max="8769" width="8.7109375" style="3" customWidth="1"/>
    <col min="8770" max="8770" width="14.42578125" style="3" customWidth="1"/>
    <col min="8771" max="8771" width="15.7109375" style="3" bestFit="1" customWidth="1"/>
    <col min="8772" max="8772" width="15.7109375" style="3" customWidth="1"/>
    <col min="8773" max="8773" width="14.42578125" style="3" bestFit="1" customWidth="1"/>
    <col min="8774" max="8774" width="12.7109375" style="3" bestFit="1" customWidth="1"/>
    <col min="8775" max="9021" width="9.140625" style="3"/>
    <col min="9022" max="9022" width="6.140625" style="3" customWidth="1"/>
    <col min="9023" max="9023" width="41" style="3" customWidth="1"/>
    <col min="9024" max="9024" width="10.85546875" style="3" customWidth="1"/>
    <col min="9025" max="9025" width="8.7109375" style="3" customWidth="1"/>
    <col min="9026" max="9026" width="14.42578125" style="3" customWidth="1"/>
    <col min="9027" max="9027" width="15.7109375" style="3" bestFit="1" customWidth="1"/>
    <col min="9028" max="9028" width="15.7109375" style="3" customWidth="1"/>
    <col min="9029" max="9029" width="14.42578125" style="3" bestFit="1" customWidth="1"/>
    <col min="9030" max="9030" width="12.7109375" style="3" bestFit="1" customWidth="1"/>
    <col min="9031" max="9277" width="9.140625" style="3"/>
    <col min="9278" max="9278" width="6.140625" style="3" customWidth="1"/>
    <col min="9279" max="9279" width="41" style="3" customWidth="1"/>
    <col min="9280" max="9280" width="10.85546875" style="3" customWidth="1"/>
    <col min="9281" max="9281" width="8.7109375" style="3" customWidth="1"/>
    <col min="9282" max="9282" width="14.42578125" style="3" customWidth="1"/>
    <col min="9283" max="9283" width="15.7109375" style="3" bestFit="1" customWidth="1"/>
    <col min="9284" max="9284" width="15.7109375" style="3" customWidth="1"/>
    <col min="9285" max="9285" width="14.42578125" style="3" bestFit="1" customWidth="1"/>
    <col min="9286" max="9286" width="12.7109375" style="3" bestFit="1" customWidth="1"/>
    <col min="9287" max="9533" width="9.140625" style="3"/>
    <col min="9534" max="9534" width="6.140625" style="3" customWidth="1"/>
    <col min="9535" max="9535" width="41" style="3" customWidth="1"/>
    <col min="9536" max="9536" width="10.85546875" style="3" customWidth="1"/>
    <col min="9537" max="9537" width="8.7109375" style="3" customWidth="1"/>
    <col min="9538" max="9538" width="14.42578125" style="3" customWidth="1"/>
    <col min="9539" max="9539" width="15.7109375" style="3" bestFit="1" customWidth="1"/>
    <col min="9540" max="9540" width="15.7109375" style="3" customWidth="1"/>
    <col min="9541" max="9541" width="14.42578125" style="3" bestFit="1" customWidth="1"/>
    <col min="9542" max="9542" width="12.7109375" style="3" bestFit="1" customWidth="1"/>
    <col min="9543" max="9789" width="9.140625" style="3"/>
    <col min="9790" max="9790" width="6.140625" style="3" customWidth="1"/>
    <col min="9791" max="9791" width="41" style="3" customWidth="1"/>
    <col min="9792" max="9792" width="10.85546875" style="3" customWidth="1"/>
    <col min="9793" max="9793" width="8.7109375" style="3" customWidth="1"/>
    <col min="9794" max="9794" width="14.42578125" style="3" customWidth="1"/>
    <col min="9795" max="9795" width="15.7109375" style="3" bestFit="1" customWidth="1"/>
    <col min="9796" max="9796" width="15.7109375" style="3" customWidth="1"/>
    <col min="9797" max="9797" width="14.42578125" style="3" bestFit="1" customWidth="1"/>
    <col min="9798" max="9798" width="12.7109375" style="3" bestFit="1" customWidth="1"/>
    <col min="9799" max="10045" width="9.140625" style="3"/>
    <col min="10046" max="10046" width="6.140625" style="3" customWidth="1"/>
    <col min="10047" max="10047" width="41" style="3" customWidth="1"/>
    <col min="10048" max="10048" width="10.85546875" style="3" customWidth="1"/>
    <col min="10049" max="10049" width="8.7109375" style="3" customWidth="1"/>
    <col min="10050" max="10050" width="14.42578125" style="3" customWidth="1"/>
    <col min="10051" max="10051" width="15.7109375" style="3" bestFit="1" customWidth="1"/>
    <col min="10052" max="10052" width="15.7109375" style="3" customWidth="1"/>
    <col min="10053" max="10053" width="14.42578125" style="3" bestFit="1" customWidth="1"/>
    <col min="10054" max="10054" width="12.7109375" style="3" bestFit="1" customWidth="1"/>
    <col min="10055" max="10301" width="9.140625" style="3"/>
    <col min="10302" max="10302" width="6.140625" style="3" customWidth="1"/>
    <col min="10303" max="10303" width="41" style="3" customWidth="1"/>
    <col min="10304" max="10304" width="10.85546875" style="3" customWidth="1"/>
    <col min="10305" max="10305" width="8.7109375" style="3" customWidth="1"/>
    <col min="10306" max="10306" width="14.42578125" style="3" customWidth="1"/>
    <col min="10307" max="10307" width="15.7109375" style="3" bestFit="1" customWidth="1"/>
    <col min="10308" max="10308" width="15.7109375" style="3" customWidth="1"/>
    <col min="10309" max="10309" width="14.42578125" style="3" bestFit="1" customWidth="1"/>
    <col min="10310" max="10310" width="12.7109375" style="3" bestFit="1" customWidth="1"/>
    <col min="10311" max="10557" width="9.140625" style="3"/>
    <col min="10558" max="10558" width="6.140625" style="3" customWidth="1"/>
    <col min="10559" max="10559" width="41" style="3" customWidth="1"/>
    <col min="10560" max="10560" width="10.85546875" style="3" customWidth="1"/>
    <col min="10561" max="10561" width="8.7109375" style="3" customWidth="1"/>
    <col min="10562" max="10562" width="14.42578125" style="3" customWidth="1"/>
    <col min="10563" max="10563" width="15.7109375" style="3" bestFit="1" customWidth="1"/>
    <col min="10564" max="10564" width="15.7109375" style="3" customWidth="1"/>
    <col min="10565" max="10565" width="14.42578125" style="3" bestFit="1" customWidth="1"/>
    <col min="10566" max="10566" width="12.7109375" style="3" bestFit="1" customWidth="1"/>
    <col min="10567" max="10813" width="9.140625" style="3"/>
    <col min="10814" max="10814" width="6.140625" style="3" customWidth="1"/>
    <col min="10815" max="10815" width="41" style="3" customWidth="1"/>
    <col min="10816" max="10816" width="10.85546875" style="3" customWidth="1"/>
    <col min="10817" max="10817" width="8.7109375" style="3" customWidth="1"/>
    <col min="10818" max="10818" width="14.42578125" style="3" customWidth="1"/>
    <col min="10819" max="10819" width="15.7109375" style="3" bestFit="1" customWidth="1"/>
    <col min="10820" max="10820" width="15.7109375" style="3" customWidth="1"/>
    <col min="10821" max="10821" width="14.42578125" style="3" bestFit="1" customWidth="1"/>
    <col min="10822" max="10822" width="12.7109375" style="3" bestFit="1" customWidth="1"/>
    <col min="10823" max="11069" width="9.140625" style="3"/>
    <col min="11070" max="11070" width="6.140625" style="3" customWidth="1"/>
    <col min="11071" max="11071" width="41" style="3" customWidth="1"/>
    <col min="11072" max="11072" width="10.85546875" style="3" customWidth="1"/>
    <col min="11073" max="11073" width="8.7109375" style="3" customWidth="1"/>
    <col min="11074" max="11074" width="14.42578125" style="3" customWidth="1"/>
    <col min="11075" max="11075" width="15.7109375" style="3" bestFit="1" customWidth="1"/>
    <col min="11076" max="11076" width="15.7109375" style="3" customWidth="1"/>
    <col min="11077" max="11077" width="14.42578125" style="3" bestFit="1" customWidth="1"/>
    <col min="11078" max="11078" width="12.7109375" style="3" bestFit="1" customWidth="1"/>
    <col min="11079" max="11325" width="9.140625" style="3"/>
    <col min="11326" max="11326" width="6.140625" style="3" customWidth="1"/>
    <col min="11327" max="11327" width="41" style="3" customWidth="1"/>
    <col min="11328" max="11328" width="10.85546875" style="3" customWidth="1"/>
    <col min="11329" max="11329" width="8.7109375" style="3" customWidth="1"/>
    <col min="11330" max="11330" width="14.42578125" style="3" customWidth="1"/>
    <col min="11331" max="11331" width="15.7109375" style="3" bestFit="1" customWidth="1"/>
    <col min="11332" max="11332" width="15.7109375" style="3" customWidth="1"/>
    <col min="11333" max="11333" width="14.42578125" style="3" bestFit="1" customWidth="1"/>
    <col min="11334" max="11334" width="12.7109375" style="3" bestFit="1" customWidth="1"/>
    <col min="11335" max="11581" width="9.140625" style="3"/>
    <col min="11582" max="11582" width="6.140625" style="3" customWidth="1"/>
    <col min="11583" max="11583" width="41" style="3" customWidth="1"/>
    <col min="11584" max="11584" width="10.85546875" style="3" customWidth="1"/>
    <col min="11585" max="11585" width="8.7109375" style="3" customWidth="1"/>
    <col min="11586" max="11586" width="14.42578125" style="3" customWidth="1"/>
    <col min="11587" max="11587" width="15.7109375" style="3" bestFit="1" customWidth="1"/>
    <col min="11588" max="11588" width="15.7109375" style="3" customWidth="1"/>
    <col min="11589" max="11589" width="14.42578125" style="3" bestFit="1" customWidth="1"/>
    <col min="11590" max="11590" width="12.7109375" style="3" bestFit="1" customWidth="1"/>
    <col min="11591" max="11837" width="9.140625" style="3"/>
    <col min="11838" max="11838" width="6.140625" style="3" customWidth="1"/>
    <col min="11839" max="11839" width="41" style="3" customWidth="1"/>
    <col min="11840" max="11840" width="10.85546875" style="3" customWidth="1"/>
    <col min="11841" max="11841" width="8.7109375" style="3" customWidth="1"/>
    <col min="11842" max="11842" width="14.42578125" style="3" customWidth="1"/>
    <col min="11843" max="11843" width="15.7109375" style="3" bestFit="1" customWidth="1"/>
    <col min="11844" max="11844" width="15.7109375" style="3" customWidth="1"/>
    <col min="11845" max="11845" width="14.42578125" style="3" bestFit="1" customWidth="1"/>
    <col min="11846" max="11846" width="12.7109375" style="3" bestFit="1" customWidth="1"/>
    <col min="11847" max="12093" width="9.140625" style="3"/>
    <col min="12094" max="12094" width="6.140625" style="3" customWidth="1"/>
    <col min="12095" max="12095" width="41" style="3" customWidth="1"/>
    <col min="12096" max="12096" width="10.85546875" style="3" customWidth="1"/>
    <col min="12097" max="12097" width="8.7109375" style="3" customWidth="1"/>
    <col min="12098" max="12098" width="14.42578125" style="3" customWidth="1"/>
    <col min="12099" max="12099" width="15.7109375" style="3" bestFit="1" customWidth="1"/>
    <col min="12100" max="12100" width="15.7109375" style="3" customWidth="1"/>
    <col min="12101" max="12101" width="14.42578125" style="3" bestFit="1" customWidth="1"/>
    <col min="12102" max="12102" width="12.7109375" style="3" bestFit="1" customWidth="1"/>
    <col min="12103" max="12349" width="9.140625" style="3"/>
    <col min="12350" max="12350" width="6.140625" style="3" customWidth="1"/>
    <col min="12351" max="12351" width="41" style="3" customWidth="1"/>
    <col min="12352" max="12352" width="10.85546875" style="3" customWidth="1"/>
    <col min="12353" max="12353" width="8.7109375" style="3" customWidth="1"/>
    <col min="12354" max="12354" width="14.42578125" style="3" customWidth="1"/>
    <col min="12355" max="12355" width="15.7109375" style="3" bestFit="1" customWidth="1"/>
    <col min="12356" max="12356" width="15.7109375" style="3" customWidth="1"/>
    <col min="12357" max="12357" width="14.42578125" style="3" bestFit="1" customWidth="1"/>
    <col min="12358" max="12358" width="12.7109375" style="3" bestFit="1" customWidth="1"/>
    <col min="12359" max="12605" width="9.140625" style="3"/>
    <col min="12606" max="12606" width="6.140625" style="3" customWidth="1"/>
    <col min="12607" max="12607" width="41" style="3" customWidth="1"/>
    <col min="12608" max="12608" width="10.85546875" style="3" customWidth="1"/>
    <col min="12609" max="12609" width="8.7109375" style="3" customWidth="1"/>
    <col min="12610" max="12610" width="14.42578125" style="3" customWidth="1"/>
    <col min="12611" max="12611" width="15.7109375" style="3" bestFit="1" customWidth="1"/>
    <col min="12612" max="12612" width="15.7109375" style="3" customWidth="1"/>
    <col min="12613" max="12613" width="14.42578125" style="3" bestFit="1" customWidth="1"/>
    <col min="12614" max="12614" width="12.7109375" style="3" bestFit="1" customWidth="1"/>
    <col min="12615" max="12861" width="9.140625" style="3"/>
    <col min="12862" max="12862" width="6.140625" style="3" customWidth="1"/>
    <col min="12863" max="12863" width="41" style="3" customWidth="1"/>
    <col min="12864" max="12864" width="10.85546875" style="3" customWidth="1"/>
    <col min="12865" max="12865" width="8.7109375" style="3" customWidth="1"/>
    <col min="12866" max="12866" width="14.42578125" style="3" customWidth="1"/>
    <col min="12867" max="12867" width="15.7109375" style="3" bestFit="1" customWidth="1"/>
    <col min="12868" max="12868" width="15.7109375" style="3" customWidth="1"/>
    <col min="12869" max="12869" width="14.42578125" style="3" bestFit="1" customWidth="1"/>
    <col min="12870" max="12870" width="12.7109375" style="3" bestFit="1" customWidth="1"/>
    <col min="12871" max="13117" width="9.140625" style="3"/>
    <col min="13118" max="13118" width="6.140625" style="3" customWidth="1"/>
    <col min="13119" max="13119" width="41" style="3" customWidth="1"/>
    <col min="13120" max="13120" width="10.85546875" style="3" customWidth="1"/>
    <col min="13121" max="13121" width="8.7109375" style="3" customWidth="1"/>
    <col min="13122" max="13122" width="14.42578125" style="3" customWidth="1"/>
    <col min="13123" max="13123" width="15.7109375" style="3" bestFit="1" customWidth="1"/>
    <col min="13124" max="13124" width="15.7109375" style="3" customWidth="1"/>
    <col min="13125" max="13125" width="14.42578125" style="3" bestFit="1" customWidth="1"/>
    <col min="13126" max="13126" width="12.7109375" style="3" bestFit="1" customWidth="1"/>
    <col min="13127" max="13373" width="9.140625" style="3"/>
    <col min="13374" max="13374" width="6.140625" style="3" customWidth="1"/>
    <col min="13375" max="13375" width="41" style="3" customWidth="1"/>
    <col min="13376" max="13376" width="10.85546875" style="3" customWidth="1"/>
    <col min="13377" max="13377" width="8.7109375" style="3" customWidth="1"/>
    <col min="13378" max="13378" width="14.42578125" style="3" customWidth="1"/>
    <col min="13379" max="13379" width="15.7109375" style="3" bestFit="1" customWidth="1"/>
    <col min="13380" max="13380" width="15.7109375" style="3" customWidth="1"/>
    <col min="13381" max="13381" width="14.42578125" style="3" bestFit="1" customWidth="1"/>
    <col min="13382" max="13382" width="12.7109375" style="3" bestFit="1" customWidth="1"/>
    <col min="13383" max="13629" width="9.140625" style="3"/>
    <col min="13630" max="13630" width="6.140625" style="3" customWidth="1"/>
    <col min="13631" max="13631" width="41" style="3" customWidth="1"/>
    <col min="13632" max="13632" width="10.85546875" style="3" customWidth="1"/>
    <col min="13633" max="13633" width="8.7109375" style="3" customWidth="1"/>
    <col min="13634" max="13634" width="14.42578125" style="3" customWidth="1"/>
    <col min="13635" max="13635" width="15.7109375" style="3" bestFit="1" customWidth="1"/>
    <col min="13636" max="13636" width="15.7109375" style="3" customWidth="1"/>
    <col min="13637" max="13637" width="14.42578125" style="3" bestFit="1" customWidth="1"/>
    <col min="13638" max="13638" width="12.7109375" style="3" bestFit="1" customWidth="1"/>
    <col min="13639" max="13885" width="9.140625" style="3"/>
    <col min="13886" max="13886" width="6.140625" style="3" customWidth="1"/>
    <col min="13887" max="13887" width="41" style="3" customWidth="1"/>
    <col min="13888" max="13888" width="10.85546875" style="3" customWidth="1"/>
    <col min="13889" max="13889" width="8.7109375" style="3" customWidth="1"/>
    <col min="13890" max="13890" width="14.42578125" style="3" customWidth="1"/>
    <col min="13891" max="13891" width="15.7109375" style="3" bestFit="1" customWidth="1"/>
    <col min="13892" max="13892" width="15.7109375" style="3" customWidth="1"/>
    <col min="13893" max="13893" width="14.42578125" style="3" bestFit="1" customWidth="1"/>
    <col min="13894" max="13894" width="12.7109375" style="3" bestFit="1" customWidth="1"/>
    <col min="13895" max="14141" width="9.140625" style="3"/>
    <col min="14142" max="14142" width="6.140625" style="3" customWidth="1"/>
    <col min="14143" max="14143" width="41" style="3" customWidth="1"/>
    <col min="14144" max="14144" width="10.85546875" style="3" customWidth="1"/>
    <col min="14145" max="14145" width="8.7109375" style="3" customWidth="1"/>
    <col min="14146" max="14146" width="14.42578125" style="3" customWidth="1"/>
    <col min="14147" max="14147" width="15.7109375" style="3" bestFit="1" customWidth="1"/>
    <col min="14148" max="14148" width="15.7109375" style="3" customWidth="1"/>
    <col min="14149" max="14149" width="14.42578125" style="3" bestFit="1" customWidth="1"/>
    <col min="14150" max="14150" width="12.7109375" style="3" bestFit="1" customWidth="1"/>
    <col min="14151" max="14397" width="9.140625" style="3"/>
    <col min="14398" max="14398" width="6.140625" style="3" customWidth="1"/>
    <col min="14399" max="14399" width="41" style="3" customWidth="1"/>
    <col min="14400" max="14400" width="10.85546875" style="3" customWidth="1"/>
    <col min="14401" max="14401" width="8.7109375" style="3" customWidth="1"/>
    <col min="14402" max="14402" width="14.42578125" style="3" customWidth="1"/>
    <col min="14403" max="14403" width="15.7109375" style="3" bestFit="1" customWidth="1"/>
    <col min="14404" max="14404" width="15.7109375" style="3" customWidth="1"/>
    <col min="14405" max="14405" width="14.42578125" style="3" bestFit="1" customWidth="1"/>
    <col min="14406" max="14406" width="12.7109375" style="3" bestFit="1" customWidth="1"/>
    <col min="14407" max="14653" width="9.140625" style="3"/>
    <col min="14654" max="14654" width="6.140625" style="3" customWidth="1"/>
    <col min="14655" max="14655" width="41" style="3" customWidth="1"/>
    <col min="14656" max="14656" width="10.85546875" style="3" customWidth="1"/>
    <col min="14657" max="14657" width="8.7109375" style="3" customWidth="1"/>
    <col min="14658" max="14658" width="14.42578125" style="3" customWidth="1"/>
    <col min="14659" max="14659" width="15.7109375" style="3" bestFit="1" customWidth="1"/>
    <col min="14660" max="14660" width="15.7109375" style="3" customWidth="1"/>
    <col min="14661" max="14661" width="14.42578125" style="3" bestFit="1" customWidth="1"/>
    <col min="14662" max="14662" width="12.7109375" style="3" bestFit="1" customWidth="1"/>
    <col min="14663" max="14909" width="9.140625" style="3"/>
    <col min="14910" max="14910" width="6.140625" style="3" customWidth="1"/>
    <col min="14911" max="14911" width="41" style="3" customWidth="1"/>
    <col min="14912" max="14912" width="10.85546875" style="3" customWidth="1"/>
    <col min="14913" max="14913" width="8.7109375" style="3" customWidth="1"/>
    <col min="14914" max="14914" width="14.42578125" style="3" customWidth="1"/>
    <col min="14915" max="14915" width="15.7109375" style="3" bestFit="1" customWidth="1"/>
    <col min="14916" max="14916" width="15.7109375" style="3" customWidth="1"/>
    <col min="14917" max="14917" width="14.42578125" style="3" bestFit="1" customWidth="1"/>
    <col min="14918" max="14918" width="12.7109375" style="3" bestFit="1" customWidth="1"/>
    <col min="14919" max="15165" width="9.140625" style="3"/>
    <col min="15166" max="15166" width="6.140625" style="3" customWidth="1"/>
    <col min="15167" max="15167" width="41" style="3" customWidth="1"/>
    <col min="15168" max="15168" width="10.85546875" style="3" customWidth="1"/>
    <col min="15169" max="15169" width="8.7109375" style="3" customWidth="1"/>
    <col min="15170" max="15170" width="14.42578125" style="3" customWidth="1"/>
    <col min="15171" max="15171" width="15.7109375" style="3" bestFit="1" customWidth="1"/>
    <col min="15172" max="15172" width="15.7109375" style="3" customWidth="1"/>
    <col min="15173" max="15173" width="14.42578125" style="3" bestFit="1" customWidth="1"/>
    <col min="15174" max="15174" width="12.7109375" style="3" bestFit="1" customWidth="1"/>
    <col min="15175" max="15421" width="9.140625" style="3"/>
    <col min="15422" max="15422" width="6.140625" style="3" customWidth="1"/>
    <col min="15423" max="15423" width="41" style="3" customWidth="1"/>
    <col min="15424" max="15424" width="10.85546875" style="3" customWidth="1"/>
    <col min="15425" max="15425" width="8.7109375" style="3" customWidth="1"/>
    <col min="15426" max="15426" width="14.42578125" style="3" customWidth="1"/>
    <col min="15427" max="15427" width="15.7109375" style="3" bestFit="1" customWidth="1"/>
    <col min="15428" max="15428" width="15.7109375" style="3" customWidth="1"/>
    <col min="15429" max="15429" width="14.42578125" style="3" bestFit="1" customWidth="1"/>
    <col min="15430" max="15430" width="12.7109375" style="3" bestFit="1" customWidth="1"/>
    <col min="15431" max="15677" width="9.140625" style="3"/>
    <col min="15678" max="15678" width="6.140625" style="3" customWidth="1"/>
    <col min="15679" max="15679" width="41" style="3" customWidth="1"/>
    <col min="15680" max="15680" width="10.85546875" style="3" customWidth="1"/>
    <col min="15681" max="15681" width="8.7109375" style="3" customWidth="1"/>
    <col min="15682" max="15682" width="14.42578125" style="3" customWidth="1"/>
    <col min="15683" max="15683" width="15.7109375" style="3" bestFit="1" customWidth="1"/>
    <col min="15684" max="15684" width="15.7109375" style="3" customWidth="1"/>
    <col min="15685" max="15685" width="14.42578125" style="3" bestFit="1" customWidth="1"/>
    <col min="15686" max="15686" width="12.7109375" style="3" bestFit="1" customWidth="1"/>
    <col min="15687" max="15933" width="9.140625" style="3"/>
    <col min="15934" max="15934" width="6.140625" style="3" customWidth="1"/>
    <col min="15935" max="15935" width="41" style="3" customWidth="1"/>
    <col min="15936" max="15936" width="10.85546875" style="3" customWidth="1"/>
    <col min="15937" max="15937" width="8.7109375" style="3" customWidth="1"/>
    <col min="15938" max="15938" width="14.42578125" style="3" customWidth="1"/>
    <col min="15939" max="15939" width="15.7109375" style="3" bestFit="1" customWidth="1"/>
    <col min="15940" max="15940" width="15.7109375" style="3" customWidth="1"/>
    <col min="15941" max="15941" width="14.42578125" style="3" bestFit="1" customWidth="1"/>
    <col min="15942" max="15942" width="12.7109375" style="3" bestFit="1" customWidth="1"/>
    <col min="15943" max="16384" width="11" style="3"/>
  </cols>
  <sheetData>
    <row r="1" spans="1:17" ht="49.5" customHeight="1" x14ac:dyDescent="0.25">
      <c r="A1" s="171"/>
      <c r="B1" s="172"/>
      <c r="C1" s="172"/>
      <c r="D1" s="173"/>
      <c r="E1" s="174"/>
      <c r="F1" s="175"/>
      <c r="G1" s="176"/>
      <c r="H1" s="88"/>
      <c r="I1" s="88"/>
      <c r="J1" s="89"/>
      <c r="K1" s="89"/>
      <c r="L1" s="89"/>
      <c r="M1" s="89"/>
      <c r="N1" s="89"/>
      <c r="O1" s="89"/>
      <c r="P1" s="89"/>
      <c r="Q1" s="89"/>
    </row>
    <row r="2" spans="1:17" ht="29.25" customHeight="1" x14ac:dyDescent="0.3">
      <c r="A2" s="177"/>
      <c r="B2" s="178"/>
      <c r="C2" s="179"/>
      <c r="D2" s="179"/>
      <c r="E2" s="180"/>
      <c r="F2" s="179"/>
      <c r="G2" s="181"/>
      <c r="H2" s="88"/>
      <c r="I2" s="88"/>
      <c r="J2" s="90"/>
      <c r="K2" s="90"/>
      <c r="L2" s="90"/>
      <c r="M2" s="90"/>
      <c r="N2" s="90"/>
      <c r="O2" s="90"/>
      <c r="P2" s="90"/>
      <c r="Q2" s="90"/>
    </row>
    <row r="3" spans="1:17" ht="22.5" customHeight="1" x14ac:dyDescent="0.3">
      <c r="A3" s="177"/>
      <c r="B3" s="182"/>
      <c r="C3" s="182"/>
      <c r="D3" s="182"/>
      <c r="E3" s="183"/>
      <c r="F3" s="182"/>
      <c r="G3" s="184"/>
      <c r="H3" s="88"/>
      <c r="I3" s="88"/>
      <c r="J3" s="90"/>
      <c r="K3" s="90"/>
      <c r="L3" s="90"/>
      <c r="M3" s="90"/>
      <c r="N3" s="90"/>
      <c r="O3" s="90"/>
      <c r="P3" s="90"/>
      <c r="Q3" s="90"/>
    </row>
    <row r="4" spans="1:17" ht="26.25" customHeight="1" x14ac:dyDescent="0.25">
      <c r="A4" s="185"/>
      <c r="B4" s="186"/>
      <c r="C4" s="186"/>
      <c r="D4" s="183"/>
      <c r="E4" s="183"/>
      <c r="F4" s="183"/>
      <c r="G4" s="184"/>
      <c r="H4" s="88"/>
      <c r="I4" s="88"/>
      <c r="J4" s="90"/>
      <c r="K4" s="90"/>
      <c r="L4" s="90"/>
      <c r="M4" s="90"/>
      <c r="N4" s="90"/>
      <c r="O4" s="90"/>
      <c r="P4" s="90"/>
      <c r="Q4" s="90"/>
    </row>
    <row r="5" spans="1:17" ht="32.25" customHeight="1" thickBot="1" x14ac:dyDescent="0.3">
      <c r="A5" s="187"/>
      <c r="B5" s="188"/>
      <c r="C5" s="188"/>
      <c r="D5" s="189"/>
      <c r="E5" s="189"/>
      <c r="F5" s="190"/>
      <c r="G5" s="191"/>
      <c r="H5" s="88"/>
      <c r="I5" s="88"/>
      <c r="J5" s="88"/>
      <c r="K5" s="88"/>
      <c r="L5" s="88"/>
      <c r="M5" s="91"/>
      <c r="N5" s="92"/>
      <c r="O5" s="92"/>
      <c r="P5" s="92"/>
    </row>
    <row r="6" spans="1:17" ht="33" customHeight="1" x14ac:dyDescent="0.25">
      <c r="A6" s="192" t="s">
        <v>289</v>
      </c>
      <c r="B6" s="193"/>
      <c r="C6" s="193"/>
      <c r="D6" s="193"/>
      <c r="E6" s="193"/>
      <c r="F6" s="193"/>
      <c r="G6" s="193"/>
      <c r="H6" s="88"/>
      <c r="I6" s="88"/>
      <c r="J6" s="93"/>
      <c r="K6" s="93"/>
      <c r="L6" s="93"/>
      <c r="M6" s="93"/>
      <c r="N6" s="93"/>
      <c r="O6" s="93"/>
      <c r="P6" s="93"/>
    </row>
    <row r="7" spans="1:17" ht="22.5" customHeight="1" x14ac:dyDescent="0.25">
      <c r="A7" s="194" t="s">
        <v>290</v>
      </c>
      <c r="B7" s="195"/>
      <c r="C7" s="195"/>
      <c r="D7" s="195"/>
      <c r="E7" s="195"/>
      <c r="F7" s="195"/>
      <c r="G7" s="195"/>
      <c r="H7" s="94"/>
      <c r="I7" s="94"/>
      <c r="J7" s="94"/>
      <c r="K7" s="94"/>
      <c r="L7" s="94"/>
      <c r="M7" s="94"/>
      <c r="N7" s="94"/>
      <c r="O7" s="94"/>
      <c r="P7" s="94"/>
    </row>
    <row r="8" spans="1:17" ht="30.75" customHeight="1" x14ac:dyDescent="0.3">
      <c r="A8" s="196" t="s">
        <v>335</v>
      </c>
      <c r="B8" s="197"/>
      <c r="C8" s="197"/>
      <c r="D8" s="198" t="s">
        <v>347</v>
      </c>
      <c r="E8" s="198"/>
      <c r="F8" s="198"/>
      <c r="G8" s="199" t="s">
        <v>336</v>
      </c>
      <c r="H8" s="166"/>
      <c r="I8" s="166"/>
      <c r="J8" s="166"/>
      <c r="K8" s="166"/>
      <c r="L8" s="166"/>
      <c r="M8" s="163" t="s">
        <v>290</v>
      </c>
      <c r="N8" s="163"/>
      <c r="O8" s="163"/>
      <c r="P8" s="95" t="s">
        <v>290</v>
      </c>
    </row>
    <row r="9" spans="1:17" ht="26.25" customHeight="1" x14ac:dyDescent="0.3">
      <c r="A9" s="196" t="s">
        <v>359</v>
      </c>
      <c r="B9" s="197"/>
      <c r="C9" s="197"/>
      <c r="D9" s="197"/>
      <c r="E9" s="197"/>
      <c r="F9" s="197"/>
      <c r="G9" s="200"/>
      <c r="H9" s="96"/>
      <c r="I9" s="96"/>
      <c r="J9" s="91"/>
      <c r="K9" s="91"/>
      <c r="L9" s="91"/>
      <c r="M9" s="91"/>
      <c r="N9" s="91"/>
      <c r="O9" s="91"/>
      <c r="P9" s="95" t="s">
        <v>290</v>
      </c>
    </row>
    <row r="10" spans="1:17" ht="28.5" customHeight="1" x14ac:dyDescent="0.3">
      <c r="A10" s="196" t="s">
        <v>337</v>
      </c>
      <c r="B10" s="197"/>
      <c r="C10" s="197"/>
      <c r="D10" s="197"/>
      <c r="E10" s="197"/>
      <c r="F10" s="197"/>
      <c r="G10" s="200"/>
      <c r="H10" s="96"/>
      <c r="I10" s="96"/>
      <c r="J10" s="91"/>
      <c r="K10" s="97"/>
      <c r="L10" s="91"/>
      <c r="M10" s="91"/>
      <c r="N10" s="91"/>
      <c r="O10" s="91"/>
      <c r="P10" s="95" t="s">
        <v>290</v>
      </c>
    </row>
    <row r="11" spans="1:17" ht="14.25" customHeight="1" x14ac:dyDescent="0.3">
      <c r="A11" s="201" t="s">
        <v>290</v>
      </c>
      <c r="B11" s="202"/>
      <c r="C11" s="202"/>
      <c r="D11" s="202"/>
      <c r="E11" s="202"/>
      <c r="F11" s="202"/>
      <c r="G11" s="202"/>
      <c r="H11" s="98"/>
      <c r="I11" s="95" t="s">
        <v>290</v>
      </c>
      <c r="J11" s="91"/>
      <c r="K11" s="91"/>
      <c r="L11" s="99"/>
      <c r="M11" s="99"/>
      <c r="N11" s="99"/>
      <c r="O11" s="99"/>
      <c r="P11" s="99"/>
    </row>
    <row r="12" spans="1:17" ht="21" customHeight="1" thickBot="1" x14ac:dyDescent="0.3">
      <c r="A12" s="164" t="s">
        <v>291</v>
      </c>
      <c r="B12" s="165"/>
      <c r="C12" s="165"/>
      <c r="D12" s="165"/>
      <c r="E12" s="165"/>
      <c r="F12" s="165"/>
      <c r="G12" s="165"/>
      <c r="H12" s="93"/>
      <c r="I12" s="93"/>
      <c r="J12" s="93"/>
      <c r="K12" s="93"/>
      <c r="L12" s="93"/>
      <c r="M12" s="93"/>
      <c r="N12" s="93"/>
      <c r="O12" s="93"/>
      <c r="P12" s="93"/>
      <c r="Q12" s="91"/>
    </row>
    <row r="13" spans="1:17" ht="37.5" customHeight="1" thickBot="1" x14ac:dyDescent="0.25">
      <c r="A13" s="100" t="s">
        <v>292</v>
      </c>
      <c r="B13" s="101" t="s">
        <v>293</v>
      </c>
      <c r="C13" s="101" t="s">
        <v>294</v>
      </c>
      <c r="D13" s="102" t="s">
        <v>295</v>
      </c>
      <c r="E13" s="103" t="s">
        <v>296</v>
      </c>
      <c r="F13" s="104" t="s">
        <v>297</v>
      </c>
      <c r="G13" s="101" t="s">
        <v>298</v>
      </c>
    </row>
    <row r="14" spans="1:17" ht="19.5" customHeight="1" x14ac:dyDescent="0.2">
      <c r="A14" s="110"/>
      <c r="B14" s="111"/>
      <c r="C14" s="112"/>
      <c r="D14" s="113"/>
      <c r="E14" s="114"/>
      <c r="F14" s="115"/>
      <c r="G14" s="116"/>
    </row>
    <row r="15" spans="1:17" ht="21" customHeight="1" x14ac:dyDescent="0.2">
      <c r="A15" s="109">
        <v>1</v>
      </c>
      <c r="B15" s="135" t="s">
        <v>301</v>
      </c>
      <c r="C15" s="135"/>
      <c r="D15" s="135"/>
      <c r="E15" s="135"/>
      <c r="F15" s="135"/>
      <c r="G15" s="135"/>
      <c r="K15" s="12"/>
      <c r="L15" s="12"/>
    </row>
    <row r="16" spans="1:17" ht="24.75" customHeight="1" x14ac:dyDescent="0.2">
      <c r="A16" s="117">
        <f t="shared" ref="A16:A29" si="0">A15+0.01</f>
        <v>1.01</v>
      </c>
      <c r="B16" s="105" t="s">
        <v>302</v>
      </c>
      <c r="C16" s="106">
        <v>5</v>
      </c>
      <c r="D16" s="106" t="s">
        <v>2</v>
      </c>
      <c r="E16" s="203"/>
      <c r="F16" s="118">
        <f>ROUND(C16*E16,2)</f>
        <v>0</v>
      </c>
      <c r="G16" s="119"/>
      <c r="H16" s="36"/>
      <c r="I16" s="36"/>
      <c r="K16" s="12"/>
      <c r="L16" s="12"/>
    </row>
    <row r="17" spans="1:12" ht="24.75" customHeight="1" x14ac:dyDescent="0.2">
      <c r="A17" s="117">
        <f t="shared" si="0"/>
        <v>1.02</v>
      </c>
      <c r="B17" s="105" t="s">
        <v>303</v>
      </c>
      <c r="C17" s="106">
        <v>65</v>
      </c>
      <c r="D17" s="106" t="s">
        <v>96</v>
      </c>
      <c r="E17" s="203"/>
      <c r="F17" s="118">
        <f t="shared" ref="F17:F29" si="1">ROUND(C17*E17,2)</f>
        <v>0</v>
      </c>
      <c r="G17" s="119"/>
      <c r="H17" s="36"/>
      <c r="I17" s="36"/>
      <c r="K17" s="12"/>
      <c r="L17" s="12"/>
    </row>
    <row r="18" spans="1:12" ht="24.75" customHeight="1" x14ac:dyDescent="0.2">
      <c r="A18" s="117">
        <f t="shared" si="0"/>
        <v>1.03</v>
      </c>
      <c r="B18" s="105" t="s">
        <v>304</v>
      </c>
      <c r="C18" s="106">
        <v>14</v>
      </c>
      <c r="D18" s="106" t="s">
        <v>2</v>
      </c>
      <c r="E18" s="203"/>
      <c r="F18" s="118">
        <f t="shared" si="1"/>
        <v>0</v>
      </c>
      <c r="G18" s="119"/>
      <c r="H18" s="36"/>
      <c r="I18" s="36"/>
      <c r="K18" s="12"/>
      <c r="L18" s="12"/>
    </row>
    <row r="19" spans="1:12" ht="24.75" customHeight="1" x14ac:dyDescent="0.2">
      <c r="A19" s="117">
        <f t="shared" si="0"/>
        <v>1.04</v>
      </c>
      <c r="B19" s="105" t="s">
        <v>305</v>
      </c>
      <c r="C19" s="106">
        <v>27</v>
      </c>
      <c r="D19" s="106" t="s">
        <v>96</v>
      </c>
      <c r="E19" s="203"/>
      <c r="F19" s="118">
        <f t="shared" si="1"/>
        <v>0</v>
      </c>
      <c r="G19" s="119"/>
      <c r="H19" s="36"/>
      <c r="I19" s="36"/>
      <c r="K19" s="12"/>
      <c r="L19" s="12"/>
    </row>
    <row r="20" spans="1:12" ht="24.75" customHeight="1" x14ac:dyDescent="0.2">
      <c r="A20" s="117">
        <f t="shared" si="0"/>
        <v>1.05</v>
      </c>
      <c r="B20" s="105" t="s">
        <v>306</v>
      </c>
      <c r="C20" s="106">
        <v>100</v>
      </c>
      <c r="D20" s="106" t="s">
        <v>161</v>
      </c>
      <c r="E20" s="203"/>
      <c r="F20" s="118">
        <f t="shared" si="1"/>
        <v>0</v>
      </c>
      <c r="G20" s="119"/>
      <c r="H20" s="36"/>
      <c r="I20" s="36"/>
      <c r="K20" s="12"/>
      <c r="L20" s="12"/>
    </row>
    <row r="21" spans="1:12" ht="24.75" customHeight="1" x14ac:dyDescent="0.2">
      <c r="A21" s="117">
        <f t="shared" si="0"/>
        <v>1.06</v>
      </c>
      <c r="B21" s="105" t="s">
        <v>307</v>
      </c>
      <c r="C21" s="106">
        <v>1</v>
      </c>
      <c r="D21" s="106" t="s">
        <v>300</v>
      </c>
      <c r="E21" s="203"/>
      <c r="F21" s="118">
        <f t="shared" si="1"/>
        <v>0</v>
      </c>
      <c r="G21" s="119"/>
      <c r="H21" s="36"/>
      <c r="I21" s="36"/>
      <c r="K21" s="12"/>
      <c r="L21" s="12"/>
    </row>
    <row r="22" spans="1:12" ht="24.75" customHeight="1" x14ac:dyDescent="0.2">
      <c r="A22" s="117">
        <f t="shared" si="0"/>
        <v>1.07</v>
      </c>
      <c r="B22" s="105" t="s">
        <v>308</v>
      </c>
      <c r="C22" s="106">
        <v>2</v>
      </c>
      <c r="D22" s="106" t="s">
        <v>2</v>
      </c>
      <c r="E22" s="203"/>
      <c r="F22" s="118">
        <f t="shared" si="1"/>
        <v>0</v>
      </c>
      <c r="G22" s="119"/>
      <c r="H22" s="36"/>
      <c r="I22" s="36"/>
      <c r="K22" s="12"/>
      <c r="L22" s="12"/>
    </row>
    <row r="23" spans="1:12" ht="24.75" customHeight="1" x14ac:dyDescent="0.2">
      <c r="A23" s="117">
        <f t="shared" si="0"/>
        <v>1.08</v>
      </c>
      <c r="B23" s="105" t="s">
        <v>338</v>
      </c>
      <c r="C23" s="106">
        <v>1</v>
      </c>
      <c r="D23" s="106" t="s">
        <v>8</v>
      </c>
      <c r="E23" s="203"/>
      <c r="F23" s="118">
        <f t="shared" si="1"/>
        <v>0</v>
      </c>
      <c r="G23" s="119"/>
      <c r="H23" s="36"/>
      <c r="I23" s="36"/>
      <c r="K23" s="12"/>
      <c r="L23" s="12"/>
    </row>
    <row r="24" spans="1:12" ht="24.75" customHeight="1" x14ac:dyDescent="0.2">
      <c r="A24" s="117">
        <f t="shared" si="0"/>
        <v>1.0900000000000001</v>
      </c>
      <c r="B24" s="105" t="s">
        <v>333</v>
      </c>
      <c r="C24" s="106">
        <v>4.5</v>
      </c>
      <c r="D24" s="106" t="s">
        <v>96</v>
      </c>
      <c r="E24" s="203"/>
      <c r="F24" s="118">
        <f t="shared" si="1"/>
        <v>0</v>
      </c>
      <c r="G24" s="119"/>
      <c r="H24" s="36"/>
      <c r="I24" s="36"/>
      <c r="K24" s="12"/>
      <c r="L24" s="12"/>
    </row>
    <row r="25" spans="1:12" ht="24.75" customHeight="1" x14ac:dyDescent="0.2">
      <c r="A25" s="117">
        <f t="shared" si="0"/>
        <v>1.1000000000000001</v>
      </c>
      <c r="B25" s="105" t="s">
        <v>349</v>
      </c>
      <c r="C25" s="106">
        <v>65</v>
      </c>
      <c r="D25" s="106" t="s">
        <v>96</v>
      </c>
      <c r="E25" s="203"/>
      <c r="F25" s="118">
        <f t="shared" si="1"/>
        <v>0</v>
      </c>
      <c r="G25" s="119"/>
      <c r="H25" s="36"/>
      <c r="I25" s="36"/>
      <c r="K25" s="12"/>
      <c r="L25" s="12"/>
    </row>
    <row r="26" spans="1:12" ht="24.75" customHeight="1" x14ac:dyDescent="0.2">
      <c r="A26" s="117">
        <f t="shared" si="0"/>
        <v>1.1100000000000001</v>
      </c>
      <c r="B26" s="105" t="s">
        <v>354</v>
      </c>
      <c r="C26" s="106">
        <v>30</v>
      </c>
      <c r="D26" s="106" t="s">
        <v>19</v>
      </c>
      <c r="E26" s="203"/>
      <c r="F26" s="118">
        <f t="shared" si="1"/>
        <v>0</v>
      </c>
      <c r="G26" s="119"/>
      <c r="H26" s="36"/>
      <c r="I26" s="36"/>
      <c r="K26" s="12"/>
      <c r="L26" s="12"/>
    </row>
    <row r="27" spans="1:12" ht="24.75" customHeight="1" x14ac:dyDescent="0.2">
      <c r="A27" s="117">
        <f t="shared" si="0"/>
        <v>1.1200000000000001</v>
      </c>
      <c r="B27" s="107" t="s">
        <v>309</v>
      </c>
      <c r="C27" s="108">
        <v>12.5</v>
      </c>
      <c r="D27" s="108" t="s">
        <v>96</v>
      </c>
      <c r="E27" s="203"/>
      <c r="F27" s="118">
        <f t="shared" si="1"/>
        <v>0</v>
      </c>
      <c r="G27" s="119"/>
      <c r="H27" s="36"/>
      <c r="I27" s="36"/>
      <c r="K27" s="12"/>
      <c r="L27" s="12"/>
    </row>
    <row r="28" spans="1:12" ht="24.75" customHeight="1" x14ac:dyDescent="0.2">
      <c r="A28" s="117">
        <f t="shared" si="0"/>
        <v>1.1300000000000001</v>
      </c>
      <c r="B28" s="107" t="s">
        <v>323</v>
      </c>
      <c r="C28" s="108">
        <v>30</v>
      </c>
      <c r="D28" s="108" t="s">
        <v>96</v>
      </c>
      <c r="E28" s="203"/>
      <c r="F28" s="118">
        <f t="shared" si="1"/>
        <v>0</v>
      </c>
      <c r="G28" s="119"/>
      <c r="H28" s="36"/>
      <c r="I28" s="36"/>
      <c r="K28" s="12"/>
      <c r="L28" s="12"/>
    </row>
    <row r="29" spans="1:12" ht="24.75" customHeight="1" x14ac:dyDescent="0.2">
      <c r="A29" s="117">
        <f t="shared" si="0"/>
        <v>1.1400000000000001</v>
      </c>
      <c r="B29" s="107" t="s">
        <v>6</v>
      </c>
      <c r="C29" s="108">
        <v>3</v>
      </c>
      <c r="D29" s="108" t="s">
        <v>324</v>
      </c>
      <c r="E29" s="203"/>
      <c r="F29" s="118">
        <f t="shared" si="1"/>
        <v>0</v>
      </c>
      <c r="G29" s="119"/>
      <c r="H29" s="36"/>
      <c r="I29" s="36"/>
      <c r="K29" s="12"/>
      <c r="L29" s="12"/>
    </row>
    <row r="30" spans="1:12" s="4" customFormat="1" ht="18" customHeight="1" x14ac:dyDescent="0.2">
      <c r="A30" s="5"/>
      <c r="B30" s="6"/>
      <c r="C30" s="7"/>
      <c r="D30" s="8"/>
      <c r="E30" s="204"/>
      <c r="F30" s="9"/>
      <c r="G30" s="10">
        <f>SUM(F16:F29)</f>
        <v>0</v>
      </c>
      <c r="H30" s="36"/>
      <c r="I30" s="36"/>
      <c r="J30" s="3"/>
      <c r="K30" s="12"/>
      <c r="L30" s="12"/>
    </row>
    <row r="31" spans="1:12" s="4" customFormat="1" ht="15.75" customHeight="1" x14ac:dyDescent="0.2">
      <c r="A31" s="110"/>
      <c r="B31" s="111"/>
      <c r="C31" s="112"/>
      <c r="D31" s="113"/>
      <c r="E31" s="205"/>
      <c r="F31" s="115"/>
      <c r="G31" s="116"/>
      <c r="H31" s="36"/>
      <c r="I31" s="36"/>
      <c r="J31" s="3"/>
      <c r="K31" s="12"/>
      <c r="L31" s="12"/>
    </row>
    <row r="32" spans="1:12" ht="21" customHeight="1" x14ac:dyDescent="0.2">
      <c r="A32" s="109">
        <v>2</v>
      </c>
      <c r="B32" s="135" t="s">
        <v>326</v>
      </c>
      <c r="C32" s="135"/>
      <c r="D32" s="135"/>
      <c r="E32" s="206"/>
      <c r="F32" s="135"/>
      <c r="G32" s="135"/>
      <c r="K32" s="12"/>
      <c r="L32" s="12"/>
    </row>
    <row r="33" spans="1:12" ht="26.25" customHeight="1" x14ac:dyDescent="0.2">
      <c r="A33" s="117">
        <f t="shared" ref="A33:A81" si="2">A32+0.01</f>
        <v>2.0099999999999998</v>
      </c>
      <c r="B33" s="105" t="s">
        <v>339</v>
      </c>
      <c r="C33" s="106">
        <v>2</v>
      </c>
      <c r="D33" s="106" t="s">
        <v>2</v>
      </c>
      <c r="E33" s="203"/>
      <c r="F33" s="118">
        <f>ROUND(C33*E33,2)</f>
        <v>0</v>
      </c>
      <c r="G33" s="119"/>
      <c r="H33" s="36"/>
      <c r="I33" s="36"/>
      <c r="J33" s="36"/>
      <c r="K33" s="36"/>
      <c r="L33" s="36"/>
    </row>
    <row r="34" spans="1:12" ht="26.25" customHeight="1" x14ac:dyDescent="0.2">
      <c r="A34" s="117">
        <f t="shared" si="2"/>
        <v>2.0199999999999996</v>
      </c>
      <c r="B34" s="105" t="s">
        <v>340</v>
      </c>
      <c r="C34" s="106">
        <v>2</v>
      </c>
      <c r="D34" s="106" t="s">
        <v>2</v>
      </c>
      <c r="E34" s="203"/>
      <c r="F34" s="118">
        <f>ROUND(C34*E34,2)</f>
        <v>0</v>
      </c>
      <c r="G34" s="119"/>
      <c r="H34" s="36"/>
      <c r="I34" s="36"/>
      <c r="J34" s="36"/>
      <c r="K34" s="36"/>
      <c r="L34" s="36"/>
    </row>
    <row r="35" spans="1:12" ht="26.25" customHeight="1" x14ac:dyDescent="0.2">
      <c r="A35" s="117">
        <f t="shared" si="2"/>
        <v>2.0299999999999994</v>
      </c>
      <c r="B35" s="105" t="s">
        <v>310</v>
      </c>
      <c r="C35" s="106">
        <v>60</v>
      </c>
      <c r="D35" s="106" t="s">
        <v>96</v>
      </c>
      <c r="E35" s="203"/>
      <c r="F35" s="118">
        <f t="shared" ref="F35:F90" si="3">ROUND(C35*E35,2)</f>
        <v>0</v>
      </c>
      <c r="G35" s="119"/>
      <c r="H35" s="36"/>
      <c r="I35" s="36"/>
      <c r="J35" s="36"/>
      <c r="K35" s="36"/>
      <c r="L35" s="36"/>
    </row>
    <row r="36" spans="1:12" s="4" customFormat="1" ht="18" customHeight="1" x14ac:dyDescent="0.2">
      <c r="A36" s="5"/>
      <c r="B36" s="6"/>
      <c r="C36" s="7"/>
      <c r="D36" s="8"/>
      <c r="E36" s="204"/>
      <c r="F36" s="9"/>
      <c r="G36" s="10">
        <f>SUM(F33:F35)</f>
        <v>0</v>
      </c>
      <c r="H36" s="36"/>
      <c r="I36" s="36"/>
      <c r="J36" s="3"/>
      <c r="K36" s="12"/>
      <c r="L36" s="12"/>
    </row>
    <row r="37" spans="1:12" s="4" customFormat="1" ht="15.75" customHeight="1" x14ac:dyDescent="0.2">
      <c r="A37" s="110"/>
      <c r="B37" s="111"/>
      <c r="C37" s="112"/>
      <c r="D37" s="113"/>
      <c r="E37" s="205"/>
      <c r="F37" s="115"/>
      <c r="G37" s="116"/>
      <c r="H37" s="36"/>
      <c r="I37" s="36"/>
      <c r="J37" s="3"/>
      <c r="K37" s="12"/>
      <c r="L37" s="12"/>
    </row>
    <row r="38" spans="1:12" ht="21" customHeight="1" x14ac:dyDescent="0.2">
      <c r="A38" s="109">
        <v>3</v>
      </c>
      <c r="B38" s="135" t="s">
        <v>327</v>
      </c>
      <c r="C38" s="135"/>
      <c r="D38" s="135"/>
      <c r="E38" s="206"/>
      <c r="F38" s="135"/>
      <c r="G38" s="135"/>
      <c r="K38" s="12"/>
      <c r="L38" s="12"/>
    </row>
    <row r="39" spans="1:12" ht="37.5" customHeight="1" x14ac:dyDescent="0.2">
      <c r="A39" s="120">
        <f>A38+0.01</f>
        <v>3.01</v>
      </c>
      <c r="B39" s="105" t="s">
        <v>341</v>
      </c>
      <c r="C39" s="108">
        <v>65</v>
      </c>
      <c r="D39" s="108" t="s">
        <v>96</v>
      </c>
      <c r="E39" s="203"/>
      <c r="F39" s="121">
        <f t="shared" si="3"/>
        <v>0</v>
      </c>
      <c r="G39" s="122"/>
      <c r="H39" s="36"/>
      <c r="I39" s="36"/>
      <c r="J39" s="36"/>
      <c r="K39" s="36"/>
      <c r="L39" s="36"/>
    </row>
    <row r="40" spans="1:12" s="4" customFormat="1" ht="18" customHeight="1" x14ac:dyDescent="0.2">
      <c r="A40" s="5"/>
      <c r="B40" s="6"/>
      <c r="C40" s="7"/>
      <c r="D40" s="8"/>
      <c r="E40" s="204"/>
      <c r="F40" s="9"/>
      <c r="G40" s="10">
        <f>SUM(F39:F39)</f>
        <v>0</v>
      </c>
      <c r="H40" s="36"/>
      <c r="I40" s="36"/>
      <c r="J40" s="3"/>
      <c r="K40" s="12"/>
      <c r="L40" s="12"/>
    </row>
    <row r="41" spans="1:12" s="4" customFormat="1" ht="15.75" customHeight="1" x14ac:dyDescent="0.2">
      <c r="A41" s="110"/>
      <c r="B41" s="111"/>
      <c r="C41" s="112"/>
      <c r="D41" s="113"/>
      <c r="E41" s="205"/>
      <c r="F41" s="115"/>
      <c r="G41" s="116"/>
      <c r="H41" s="36"/>
      <c r="I41" s="36"/>
      <c r="J41" s="3"/>
      <c r="K41" s="12"/>
      <c r="L41" s="12"/>
    </row>
    <row r="42" spans="1:12" ht="21" customHeight="1" x14ac:dyDescent="0.2">
      <c r="A42" s="109">
        <v>4</v>
      </c>
      <c r="B42" s="135" t="s">
        <v>328</v>
      </c>
      <c r="C42" s="135"/>
      <c r="D42" s="135"/>
      <c r="E42" s="206"/>
      <c r="F42" s="135"/>
      <c r="G42" s="135"/>
      <c r="K42" s="12"/>
      <c r="L42" s="12"/>
    </row>
    <row r="43" spans="1:12" ht="35.25" customHeight="1" x14ac:dyDescent="0.2">
      <c r="A43" s="123">
        <f>A42+0.01</f>
        <v>4.01</v>
      </c>
      <c r="B43" s="105" t="s">
        <v>342</v>
      </c>
      <c r="C43" s="106">
        <v>1</v>
      </c>
      <c r="D43" s="106" t="s">
        <v>2</v>
      </c>
      <c r="E43" s="203"/>
      <c r="F43" s="124">
        <f t="shared" ref="F43:F44" si="4">ROUND(C43*E43,2)</f>
        <v>0</v>
      </c>
      <c r="G43" s="125"/>
      <c r="H43" s="36"/>
      <c r="I43" s="36"/>
      <c r="J43" s="36"/>
      <c r="K43" s="36"/>
      <c r="L43" s="36"/>
    </row>
    <row r="44" spans="1:12" ht="31.5" customHeight="1" x14ac:dyDescent="0.2">
      <c r="A44" s="126">
        <f t="shared" si="2"/>
        <v>4.0199999999999996</v>
      </c>
      <c r="B44" s="105" t="s">
        <v>343</v>
      </c>
      <c r="C44" s="106">
        <v>5</v>
      </c>
      <c r="D44" s="106" t="s">
        <v>2</v>
      </c>
      <c r="E44" s="203"/>
      <c r="F44" s="127">
        <f t="shared" si="4"/>
        <v>0</v>
      </c>
      <c r="G44" s="128"/>
      <c r="H44" s="36"/>
      <c r="I44" s="36"/>
      <c r="J44" s="36"/>
      <c r="K44" s="36"/>
      <c r="L44" s="36"/>
    </row>
    <row r="45" spans="1:12" s="4" customFormat="1" ht="18" customHeight="1" x14ac:dyDescent="0.2">
      <c r="A45" s="5"/>
      <c r="B45" s="6"/>
      <c r="C45" s="7"/>
      <c r="D45" s="8"/>
      <c r="E45" s="204"/>
      <c r="F45" s="9"/>
      <c r="G45" s="10">
        <f>SUM(F43:F44)</f>
        <v>0</v>
      </c>
      <c r="H45" s="36"/>
      <c r="I45" s="36"/>
      <c r="J45" s="3"/>
      <c r="K45" s="12"/>
      <c r="L45" s="12"/>
    </row>
    <row r="46" spans="1:12" s="4" customFormat="1" ht="15.75" customHeight="1" x14ac:dyDescent="0.2">
      <c r="A46" s="110"/>
      <c r="B46" s="111"/>
      <c r="C46" s="112"/>
      <c r="D46" s="113"/>
      <c r="E46" s="205"/>
      <c r="F46" s="115"/>
      <c r="G46" s="116"/>
      <c r="H46" s="36"/>
      <c r="I46" s="36"/>
      <c r="J46" s="3"/>
      <c r="K46" s="12"/>
      <c r="L46" s="12"/>
    </row>
    <row r="47" spans="1:12" ht="21" customHeight="1" x14ac:dyDescent="0.2">
      <c r="A47" s="109">
        <v>5</v>
      </c>
      <c r="B47" s="135" t="s">
        <v>329</v>
      </c>
      <c r="C47" s="135"/>
      <c r="D47" s="135"/>
      <c r="E47" s="206"/>
      <c r="F47" s="135"/>
      <c r="G47" s="135"/>
      <c r="K47" s="12"/>
      <c r="L47" s="12"/>
    </row>
    <row r="48" spans="1:12" ht="29.25" customHeight="1" x14ac:dyDescent="0.2">
      <c r="A48" s="117">
        <f t="shared" si="2"/>
        <v>5.01</v>
      </c>
      <c r="B48" s="105" t="s">
        <v>311</v>
      </c>
      <c r="C48" s="106">
        <v>1</v>
      </c>
      <c r="D48" s="106" t="s">
        <v>2</v>
      </c>
      <c r="E48" s="203"/>
      <c r="F48" s="118">
        <f>ROUND(C48*E48,2)</f>
        <v>0</v>
      </c>
      <c r="G48" s="119"/>
      <c r="H48" s="36"/>
      <c r="I48" s="36"/>
      <c r="J48" s="36"/>
      <c r="K48" s="36"/>
      <c r="L48" s="36"/>
    </row>
    <row r="49" spans="1:12" ht="29.25" customHeight="1" x14ac:dyDescent="0.2">
      <c r="A49" s="117">
        <f t="shared" si="2"/>
        <v>5.0199999999999996</v>
      </c>
      <c r="B49" s="105" t="s">
        <v>312</v>
      </c>
      <c r="C49" s="106">
        <v>1</v>
      </c>
      <c r="D49" s="106" t="s">
        <v>2</v>
      </c>
      <c r="E49" s="203"/>
      <c r="F49" s="118">
        <f>ROUND(C49*E49,2)</f>
        <v>0</v>
      </c>
      <c r="G49" s="119"/>
      <c r="H49" s="36"/>
      <c r="I49" s="36"/>
      <c r="J49" s="36"/>
      <c r="K49" s="36"/>
      <c r="L49" s="36"/>
    </row>
    <row r="50" spans="1:12" ht="29.25" customHeight="1" x14ac:dyDescent="0.2">
      <c r="A50" s="117">
        <f t="shared" si="2"/>
        <v>5.0299999999999994</v>
      </c>
      <c r="B50" s="105" t="s">
        <v>313</v>
      </c>
      <c r="C50" s="106">
        <v>51</v>
      </c>
      <c r="D50" s="106" t="s">
        <v>161</v>
      </c>
      <c r="E50" s="203"/>
      <c r="F50" s="118">
        <f>ROUND(C50*E50,2)</f>
        <v>0</v>
      </c>
      <c r="G50" s="119"/>
      <c r="H50" s="36"/>
      <c r="I50" s="36"/>
      <c r="J50" s="36"/>
      <c r="K50" s="36"/>
      <c r="L50" s="36"/>
    </row>
    <row r="51" spans="1:12" ht="29.25" customHeight="1" x14ac:dyDescent="0.2">
      <c r="A51" s="117">
        <f t="shared" si="2"/>
        <v>5.0399999999999991</v>
      </c>
      <c r="B51" s="105" t="s">
        <v>314</v>
      </c>
      <c r="C51" s="106">
        <v>21</v>
      </c>
      <c r="D51" s="106" t="s">
        <v>161</v>
      </c>
      <c r="E51" s="203"/>
      <c r="F51" s="118">
        <f>ROUND(C51*E51,2)</f>
        <v>0</v>
      </c>
      <c r="G51" s="119"/>
      <c r="H51" s="36"/>
      <c r="I51" s="36"/>
      <c r="J51" s="36"/>
      <c r="K51" s="36"/>
      <c r="L51" s="36"/>
    </row>
    <row r="52" spans="1:12" s="4" customFormat="1" ht="18.75" customHeight="1" x14ac:dyDescent="0.2">
      <c r="A52" s="5"/>
      <c r="B52" s="6"/>
      <c r="C52" s="7"/>
      <c r="D52" s="8"/>
      <c r="E52" s="204"/>
      <c r="F52" s="9"/>
      <c r="G52" s="10">
        <f>SUM(F48:F51)</f>
        <v>0</v>
      </c>
      <c r="H52" s="36"/>
      <c r="I52" s="36"/>
      <c r="J52" s="3"/>
      <c r="K52" s="12"/>
      <c r="L52" s="12"/>
    </row>
    <row r="53" spans="1:12" s="4" customFormat="1" ht="15.75" customHeight="1" x14ac:dyDescent="0.2">
      <c r="A53" s="110"/>
      <c r="B53" s="111"/>
      <c r="C53" s="112"/>
      <c r="D53" s="113"/>
      <c r="E53" s="205"/>
      <c r="F53" s="115"/>
      <c r="G53" s="116"/>
      <c r="H53" s="36"/>
      <c r="I53" s="36"/>
      <c r="J53" s="3"/>
      <c r="K53" s="12"/>
      <c r="L53" s="12"/>
    </row>
    <row r="54" spans="1:12" ht="21" customHeight="1" x14ac:dyDescent="0.2">
      <c r="A54" s="109">
        <v>6</v>
      </c>
      <c r="B54" s="135" t="s">
        <v>356</v>
      </c>
      <c r="C54" s="135"/>
      <c r="D54" s="135"/>
      <c r="E54" s="206"/>
      <c r="F54" s="135"/>
      <c r="G54" s="135"/>
      <c r="K54" s="12"/>
      <c r="L54" s="12"/>
    </row>
    <row r="55" spans="1:12" ht="24" customHeight="1" x14ac:dyDescent="0.2">
      <c r="A55" s="117">
        <f>A54+0.01</f>
        <v>6.01</v>
      </c>
      <c r="B55" s="105" t="s">
        <v>348</v>
      </c>
      <c r="C55" s="106">
        <v>4.5</v>
      </c>
      <c r="D55" s="106" t="s">
        <v>96</v>
      </c>
      <c r="E55" s="203"/>
      <c r="F55" s="118">
        <f t="shared" ref="F55:F56" si="5">ROUND(C55*E55,2)</f>
        <v>0</v>
      </c>
      <c r="G55" s="119"/>
      <c r="H55" s="36"/>
      <c r="I55" s="36"/>
      <c r="J55" s="36"/>
      <c r="K55" s="36"/>
      <c r="L55" s="36"/>
    </row>
    <row r="56" spans="1:12" ht="27.75" customHeight="1" x14ac:dyDescent="0.2">
      <c r="A56" s="132">
        <f t="shared" si="2"/>
        <v>6.02</v>
      </c>
      <c r="B56" s="107" t="s">
        <v>352</v>
      </c>
      <c r="C56" s="108">
        <v>65</v>
      </c>
      <c r="D56" s="108" t="s">
        <v>96</v>
      </c>
      <c r="E56" s="203"/>
      <c r="F56" s="133">
        <f t="shared" si="5"/>
        <v>0</v>
      </c>
      <c r="G56" s="134"/>
      <c r="H56" s="36"/>
      <c r="I56" s="36"/>
      <c r="J56" s="36"/>
      <c r="K56" s="36"/>
      <c r="L56" s="36"/>
    </row>
    <row r="57" spans="1:12" ht="27.75" customHeight="1" x14ac:dyDescent="0.2">
      <c r="A57" s="132">
        <f t="shared" si="2"/>
        <v>6.0299999999999994</v>
      </c>
      <c r="B57" s="107" t="s">
        <v>353</v>
      </c>
      <c r="C57" s="108">
        <v>79</v>
      </c>
      <c r="D57" s="108" t="s">
        <v>19</v>
      </c>
      <c r="E57" s="203"/>
      <c r="F57" s="133">
        <f t="shared" ref="F57" si="6">ROUND(C57*E57,2)</f>
        <v>0</v>
      </c>
      <c r="G57" s="134"/>
      <c r="H57" s="36"/>
      <c r="I57" s="36"/>
      <c r="J57" s="36"/>
      <c r="K57" s="36"/>
      <c r="L57" s="36"/>
    </row>
    <row r="58" spans="1:12" ht="27.75" customHeight="1" x14ac:dyDescent="0.2">
      <c r="A58" s="132">
        <f t="shared" si="2"/>
        <v>6.0399999999999991</v>
      </c>
      <c r="B58" s="107" t="s">
        <v>357</v>
      </c>
      <c r="C58" s="108">
        <v>14</v>
      </c>
      <c r="D58" s="108" t="s">
        <v>96</v>
      </c>
      <c r="E58" s="203"/>
      <c r="F58" s="133">
        <f t="shared" ref="F58" si="7">ROUND(C58*E58,2)</f>
        <v>0</v>
      </c>
      <c r="G58" s="134"/>
      <c r="H58" s="36"/>
      <c r="I58" s="36"/>
      <c r="J58" s="36"/>
      <c r="K58" s="36"/>
      <c r="L58" s="36"/>
    </row>
    <row r="59" spans="1:12" s="4" customFormat="1" ht="20.25" customHeight="1" x14ac:dyDescent="0.2">
      <c r="A59" s="5"/>
      <c r="B59" s="6"/>
      <c r="C59" s="7"/>
      <c r="D59" s="8"/>
      <c r="E59" s="204"/>
      <c r="F59" s="9"/>
      <c r="G59" s="10">
        <f>SUM(F55:F58)</f>
        <v>0</v>
      </c>
      <c r="H59" s="36"/>
      <c r="I59" s="36"/>
      <c r="J59" s="3"/>
      <c r="K59" s="12"/>
      <c r="L59" s="12"/>
    </row>
    <row r="60" spans="1:12" s="4" customFormat="1" ht="15.75" customHeight="1" x14ac:dyDescent="0.2">
      <c r="A60" s="110"/>
      <c r="B60" s="111"/>
      <c r="C60" s="112"/>
      <c r="D60" s="113"/>
      <c r="E60" s="205"/>
      <c r="F60" s="115"/>
      <c r="G60" s="116"/>
      <c r="H60" s="36"/>
      <c r="I60" s="36"/>
      <c r="J60" s="3"/>
      <c r="K60" s="12"/>
      <c r="L60" s="12"/>
    </row>
    <row r="61" spans="1:12" s="4" customFormat="1" ht="15.75" customHeight="1" x14ac:dyDescent="0.2">
      <c r="A61" s="110"/>
      <c r="B61" s="111"/>
      <c r="C61" s="112"/>
      <c r="D61" s="113"/>
      <c r="E61" s="205"/>
      <c r="F61" s="115"/>
      <c r="G61" s="116"/>
      <c r="H61" s="36"/>
      <c r="I61" s="36"/>
      <c r="J61" s="3"/>
      <c r="K61" s="12"/>
      <c r="L61" s="12"/>
    </row>
    <row r="62" spans="1:12" ht="21" customHeight="1" x14ac:dyDescent="0.2">
      <c r="A62" s="109">
        <v>7</v>
      </c>
      <c r="B62" s="135" t="s">
        <v>330</v>
      </c>
      <c r="C62" s="135"/>
      <c r="D62" s="135"/>
      <c r="E62" s="206"/>
      <c r="F62" s="135"/>
      <c r="G62" s="135"/>
      <c r="K62" s="12"/>
      <c r="L62" s="12"/>
    </row>
    <row r="63" spans="1:12" ht="22.5" customHeight="1" x14ac:dyDescent="0.2">
      <c r="A63" s="117">
        <f t="shared" si="2"/>
        <v>7.01</v>
      </c>
      <c r="B63" s="105" t="s">
        <v>315</v>
      </c>
      <c r="C63" s="106">
        <v>1</v>
      </c>
      <c r="D63" s="106" t="s">
        <v>2</v>
      </c>
      <c r="E63" s="203"/>
      <c r="F63" s="118">
        <f>ROUND(C63*E63,2)</f>
        <v>0</v>
      </c>
      <c r="G63" s="119"/>
      <c r="H63" s="36"/>
      <c r="I63" s="36"/>
      <c r="J63" s="36"/>
      <c r="K63" s="36"/>
      <c r="L63" s="36"/>
    </row>
    <row r="64" spans="1:12" ht="22.5" customHeight="1" x14ac:dyDescent="0.2">
      <c r="A64" s="117">
        <f t="shared" si="2"/>
        <v>7.02</v>
      </c>
      <c r="B64" s="105" t="s">
        <v>325</v>
      </c>
      <c r="C64" s="106">
        <v>1</v>
      </c>
      <c r="D64" s="106" t="s">
        <v>2</v>
      </c>
      <c r="E64" s="203"/>
      <c r="F64" s="118">
        <f>ROUND(C64*E64,2)</f>
        <v>0</v>
      </c>
      <c r="G64" s="119"/>
      <c r="H64" s="36"/>
      <c r="I64" s="36"/>
      <c r="J64" s="36"/>
      <c r="K64" s="36"/>
      <c r="L64" s="36"/>
    </row>
    <row r="65" spans="1:12" ht="22.5" customHeight="1" x14ac:dyDescent="0.2">
      <c r="A65" s="117">
        <f t="shared" si="2"/>
        <v>7.0299999999999994</v>
      </c>
      <c r="B65" s="105" t="s">
        <v>316</v>
      </c>
      <c r="C65" s="106">
        <v>1</v>
      </c>
      <c r="D65" s="106" t="s">
        <v>2</v>
      </c>
      <c r="E65" s="203"/>
      <c r="F65" s="118">
        <f t="shared" ref="F65" si="8">ROUND(C65*E65,2)</f>
        <v>0</v>
      </c>
      <c r="G65" s="119"/>
      <c r="H65" s="36"/>
      <c r="I65" s="36"/>
      <c r="J65" s="36"/>
      <c r="K65" s="36"/>
      <c r="L65" s="36"/>
    </row>
    <row r="66" spans="1:12" ht="22.5" customHeight="1" x14ac:dyDescent="0.2">
      <c r="A66" s="132">
        <f t="shared" si="2"/>
        <v>7.0399999999999991</v>
      </c>
      <c r="B66" s="107" t="s">
        <v>358</v>
      </c>
      <c r="C66" s="108">
        <v>1</v>
      </c>
      <c r="D66" s="108" t="s">
        <v>2</v>
      </c>
      <c r="E66" s="203"/>
      <c r="F66" s="133">
        <f t="shared" ref="F66" si="9">ROUND(C66*E66,2)</f>
        <v>0</v>
      </c>
      <c r="G66" s="134"/>
      <c r="H66" s="36"/>
      <c r="I66" s="36"/>
      <c r="J66" s="36"/>
      <c r="K66" s="36"/>
      <c r="L66" s="36"/>
    </row>
    <row r="67" spans="1:12" s="4" customFormat="1" ht="18.75" customHeight="1" x14ac:dyDescent="0.2">
      <c r="A67" s="5"/>
      <c r="B67" s="6"/>
      <c r="C67" s="7"/>
      <c r="D67" s="8"/>
      <c r="E67" s="204"/>
      <c r="F67" s="9"/>
      <c r="G67" s="10">
        <f>SUM(F63:F66)</f>
        <v>0</v>
      </c>
      <c r="H67" s="36"/>
      <c r="I67" s="36"/>
      <c r="J67" s="3"/>
      <c r="K67" s="12"/>
      <c r="L67" s="12"/>
    </row>
    <row r="68" spans="1:12" s="4" customFormat="1" ht="15.75" customHeight="1" x14ac:dyDescent="0.2">
      <c r="A68" s="110"/>
      <c r="B68" s="111"/>
      <c r="C68" s="112"/>
      <c r="D68" s="113"/>
      <c r="E68" s="205"/>
      <c r="F68" s="115"/>
      <c r="G68" s="116"/>
      <c r="H68" s="36"/>
      <c r="I68" s="36"/>
      <c r="J68" s="3"/>
      <c r="K68" s="12"/>
      <c r="L68" s="12"/>
    </row>
    <row r="69" spans="1:12" ht="21" customHeight="1" x14ac:dyDescent="0.2">
      <c r="A69" s="109">
        <v>8</v>
      </c>
      <c r="B69" s="135" t="s">
        <v>331</v>
      </c>
      <c r="C69" s="135"/>
      <c r="D69" s="135"/>
      <c r="E69" s="206"/>
      <c r="F69" s="135"/>
      <c r="G69" s="135"/>
      <c r="K69" s="12"/>
      <c r="L69" s="12"/>
    </row>
    <row r="70" spans="1:12" ht="22.5" customHeight="1" x14ac:dyDescent="0.2">
      <c r="A70" s="117">
        <f t="shared" ref="A70:A75" si="10">A69+0.01</f>
        <v>8.01</v>
      </c>
      <c r="B70" s="105" t="s">
        <v>355</v>
      </c>
      <c r="C70" s="106">
        <v>15</v>
      </c>
      <c r="D70" s="106" t="s">
        <v>2</v>
      </c>
      <c r="E70" s="203"/>
      <c r="F70" s="118">
        <f>ROUND(C70*E70,2)</f>
        <v>0</v>
      </c>
      <c r="G70" s="119"/>
      <c r="H70" s="36"/>
      <c r="I70" s="36"/>
      <c r="K70" s="12"/>
      <c r="L70" s="12"/>
    </row>
    <row r="71" spans="1:12" ht="22.5" customHeight="1" x14ac:dyDescent="0.2">
      <c r="A71" s="117">
        <f t="shared" si="10"/>
        <v>8.02</v>
      </c>
      <c r="B71" s="105" t="s">
        <v>317</v>
      </c>
      <c r="C71" s="106">
        <v>3</v>
      </c>
      <c r="D71" s="106" t="s">
        <v>2</v>
      </c>
      <c r="E71" s="203"/>
      <c r="F71" s="118">
        <f>ROUND(C71*E71,2)</f>
        <v>0</v>
      </c>
      <c r="G71" s="119"/>
      <c r="H71" s="36"/>
      <c r="I71" s="36"/>
      <c r="K71" s="12"/>
      <c r="L71" s="12"/>
    </row>
    <row r="72" spans="1:12" ht="22.5" customHeight="1" x14ac:dyDescent="0.2">
      <c r="A72" s="117">
        <f t="shared" si="10"/>
        <v>8.0299999999999994</v>
      </c>
      <c r="B72" s="105" t="s">
        <v>318</v>
      </c>
      <c r="C72" s="106">
        <v>7</v>
      </c>
      <c r="D72" s="106" t="s">
        <v>2</v>
      </c>
      <c r="E72" s="203"/>
      <c r="F72" s="118">
        <f t="shared" ref="F72:F75" si="11">ROUND(C72*E72,2)</f>
        <v>0</v>
      </c>
      <c r="G72" s="119"/>
      <c r="H72" s="36"/>
      <c r="I72" s="36"/>
      <c r="K72" s="12"/>
      <c r="L72" s="12"/>
    </row>
    <row r="73" spans="1:12" ht="22.5" customHeight="1" x14ac:dyDescent="0.2">
      <c r="A73" s="117">
        <f t="shared" si="10"/>
        <v>8.0399999999999991</v>
      </c>
      <c r="B73" s="105" t="s">
        <v>319</v>
      </c>
      <c r="C73" s="106">
        <v>8</v>
      </c>
      <c r="D73" s="106" t="s">
        <v>2</v>
      </c>
      <c r="E73" s="203"/>
      <c r="F73" s="118">
        <f t="shared" si="11"/>
        <v>0</v>
      </c>
      <c r="G73" s="119"/>
      <c r="H73" s="36"/>
      <c r="I73" s="36"/>
      <c r="K73" s="12"/>
      <c r="L73" s="12"/>
    </row>
    <row r="74" spans="1:12" ht="22.5" customHeight="1" x14ac:dyDescent="0.2">
      <c r="A74" s="117">
        <f t="shared" si="10"/>
        <v>8.0499999999999989</v>
      </c>
      <c r="B74" s="105" t="s">
        <v>345</v>
      </c>
      <c r="C74" s="106">
        <v>6</v>
      </c>
      <c r="D74" s="106" t="s">
        <v>2</v>
      </c>
      <c r="E74" s="203"/>
      <c r="F74" s="118">
        <f t="shared" si="11"/>
        <v>0</v>
      </c>
      <c r="G74" s="119"/>
      <c r="H74" s="36"/>
      <c r="I74" s="36"/>
      <c r="K74" s="12"/>
      <c r="L74" s="12"/>
    </row>
    <row r="75" spans="1:12" ht="22.5" customHeight="1" x14ac:dyDescent="0.2">
      <c r="A75" s="117">
        <f t="shared" si="10"/>
        <v>8.0599999999999987</v>
      </c>
      <c r="B75" s="105" t="s">
        <v>346</v>
      </c>
      <c r="C75" s="106">
        <v>2</v>
      </c>
      <c r="D75" s="106" t="s">
        <v>2</v>
      </c>
      <c r="E75" s="203"/>
      <c r="F75" s="118">
        <f t="shared" si="11"/>
        <v>0</v>
      </c>
      <c r="G75" s="119"/>
      <c r="H75" s="36"/>
      <c r="I75" s="36"/>
      <c r="K75" s="12"/>
      <c r="L75" s="12"/>
    </row>
    <row r="76" spans="1:12" s="4" customFormat="1" ht="18" customHeight="1" x14ac:dyDescent="0.2">
      <c r="A76" s="5"/>
      <c r="B76" s="6"/>
      <c r="C76" s="7"/>
      <c r="D76" s="8"/>
      <c r="E76" s="204"/>
      <c r="F76" s="9"/>
      <c r="G76" s="10">
        <f>SUM(F70:F75)</f>
        <v>0</v>
      </c>
      <c r="H76" s="36"/>
      <c r="I76" s="36"/>
      <c r="J76" s="3"/>
      <c r="K76" s="12"/>
      <c r="L76" s="12"/>
    </row>
    <row r="77" spans="1:12" s="4" customFormat="1" ht="15.75" customHeight="1" x14ac:dyDescent="0.2">
      <c r="A77" s="110"/>
      <c r="B77" s="111"/>
      <c r="C77" s="112"/>
      <c r="D77" s="113"/>
      <c r="E77" s="205"/>
      <c r="F77" s="115"/>
      <c r="G77" s="116"/>
      <c r="H77" s="36"/>
      <c r="I77" s="36"/>
      <c r="J77" s="3"/>
      <c r="K77" s="12"/>
      <c r="L77" s="12"/>
    </row>
    <row r="78" spans="1:12" ht="21" customHeight="1" x14ac:dyDescent="0.2">
      <c r="A78" s="109">
        <v>9</v>
      </c>
      <c r="B78" s="135" t="s">
        <v>18</v>
      </c>
      <c r="C78" s="135"/>
      <c r="D78" s="135"/>
      <c r="E78" s="206"/>
      <c r="F78" s="135"/>
      <c r="G78" s="135"/>
      <c r="K78" s="12"/>
      <c r="L78" s="12"/>
    </row>
    <row r="79" spans="1:12" ht="24.75" customHeight="1" x14ac:dyDescent="0.2">
      <c r="A79" s="123">
        <f t="shared" si="2"/>
        <v>9.01</v>
      </c>
      <c r="B79" s="105" t="s">
        <v>320</v>
      </c>
      <c r="C79" s="106">
        <v>210</v>
      </c>
      <c r="D79" s="106" t="s">
        <v>96</v>
      </c>
      <c r="E79" s="203"/>
      <c r="F79" s="124">
        <f>ROUND(C79*E79,2)</f>
        <v>0</v>
      </c>
      <c r="G79" s="129"/>
      <c r="H79" s="36"/>
      <c r="I79" s="36"/>
      <c r="J79" s="36"/>
      <c r="K79" s="36"/>
      <c r="L79" s="36"/>
    </row>
    <row r="80" spans="1:12" ht="24.75" customHeight="1" x14ac:dyDescent="0.2">
      <c r="A80" s="130">
        <f t="shared" si="2"/>
        <v>9.02</v>
      </c>
      <c r="B80" s="105" t="s">
        <v>321</v>
      </c>
      <c r="C80" s="106">
        <v>190</v>
      </c>
      <c r="D80" s="106" t="s">
        <v>96</v>
      </c>
      <c r="E80" s="203"/>
      <c r="F80" s="13">
        <f>ROUND(C80*E80,2)</f>
        <v>0</v>
      </c>
      <c r="G80" s="131"/>
      <c r="H80" s="36"/>
      <c r="I80" s="36"/>
      <c r="J80" s="36"/>
      <c r="K80" s="36"/>
      <c r="L80" s="36"/>
    </row>
    <row r="81" spans="1:12" ht="24.75" customHeight="1" x14ac:dyDescent="0.2">
      <c r="A81" s="126">
        <f t="shared" si="2"/>
        <v>9.0299999999999994</v>
      </c>
      <c r="B81" s="105" t="s">
        <v>322</v>
      </c>
      <c r="C81" s="106">
        <v>60</v>
      </c>
      <c r="D81" s="106" t="s">
        <v>96</v>
      </c>
      <c r="E81" s="203"/>
      <c r="F81" s="127">
        <f t="shared" ref="F81" si="12">ROUND(C81*E81,2)</f>
        <v>0</v>
      </c>
      <c r="G81" s="128"/>
      <c r="H81" s="36"/>
      <c r="I81" s="36"/>
      <c r="J81" s="36"/>
      <c r="K81" s="36"/>
      <c r="L81" s="36"/>
    </row>
    <row r="82" spans="1:12" s="4" customFormat="1" ht="18" customHeight="1" x14ac:dyDescent="0.2">
      <c r="A82" s="5"/>
      <c r="B82" s="6"/>
      <c r="C82" s="7"/>
      <c r="D82" s="8"/>
      <c r="E82" s="204"/>
      <c r="F82" s="9"/>
      <c r="G82" s="10">
        <f>SUM(F79:F81)</f>
        <v>0</v>
      </c>
      <c r="H82" s="36"/>
      <c r="I82" s="36"/>
      <c r="J82" s="3"/>
      <c r="K82" s="12"/>
      <c r="L82" s="12"/>
    </row>
    <row r="83" spans="1:12" s="4" customFormat="1" ht="15.75" customHeight="1" x14ac:dyDescent="0.2">
      <c r="A83" s="110"/>
      <c r="B83" s="111"/>
      <c r="C83" s="112"/>
      <c r="D83" s="113"/>
      <c r="E83" s="205"/>
      <c r="F83" s="115"/>
      <c r="G83" s="116"/>
      <c r="H83" s="36"/>
      <c r="I83" s="36"/>
      <c r="J83" s="3"/>
      <c r="K83" s="12"/>
      <c r="L83" s="12"/>
    </row>
    <row r="84" spans="1:12" ht="21" customHeight="1" x14ac:dyDescent="0.2">
      <c r="A84" s="109">
        <v>10</v>
      </c>
      <c r="B84" s="135" t="s">
        <v>299</v>
      </c>
      <c r="C84" s="135"/>
      <c r="D84" s="135"/>
      <c r="E84" s="206"/>
      <c r="F84" s="135"/>
      <c r="G84" s="135"/>
      <c r="K84" s="12"/>
      <c r="L84" s="12"/>
    </row>
    <row r="85" spans="1:12" ht="47.25" customHeight="1" x14ac:dyDescent="0.2">
      <c r="A85" s="117">
        <f>A84+0.01</f>
        <v>10.01</v>
      </c>
      <c r="B85" s="105" t="s">
        <v>334</v>
      </c>
      <c r="C85" s="106">
        <v>8.1999999999999993</v>
      </c>
      <c r="D85" s="106" t="s">
        <v>96</v>
      </c>
      <c r="E85" s="203"/>
      <c r="F85" s="118">
        <f t="shared" si="3"/>
        <v>0</v>
      </c>
      <c r="G85" s="119"/>
      <c r="H85" s="36"/>
      <c r="I85" s="36"/>
      <c r="J85" s="36"/>
      <c r="K85" s="36"/>
      <c r="L85" s="36"/>
    </row>
    <row r="86" spans="1:12" ht="33" customHeight="1" x14ac:dyDescent="0.2">
      <c r="A86" s="117">
        <f t="shared" ref="A86:A90" si="13">A85+0.01</f>
        <v>10.02</v>
      </c>
      <c r="B86" s="105" t="s">
        <v>344</v>
      </c>
      <c r="C86" s="106">
        <v>12</v>
      </c>
      <c r="D86" s="106" t="s">
        <v>96</v>
      </c>
      <c r="E86" s="203"/>
      <c r="F86" s="118">
        <f t="shared" si="3"/>
        <v>0</v>
      </c>
      <c r="G86" s="119"/>
      <c r="H86" s="36"/>
      <c r="I86" s="36"/>
      <c r="J86" s="36"/>
      <c r="K86" s="36"/>
      <c r="L86" s="36"/>
    </row>
    <row r="87" spans="1:12" ht="35.25" customHeight="1" x14ac:dyDescent="0.2">
      <c r="A87" s="117">
        <f t="shared" si="13"/>
        <v>10.029999999999999</v>
      </c>
      <c r="B87" s="105" t="s">
        <v>350</v>
      </c>
      <c r="C87" s="106">
        <v>9.5</v>
      </c>
      <c r="D87" s="106" t="s">
        <v>19</v>
      </c>
      <c r="E87" s="203"/>
      <c r="F87" s="118">
        <f t="shared" si="3"/>
        <v>0</v>
      </c>
      <c r="G87" s="119"/>
      <c r="H87" s="36"/>
      <c r="I87" s="36"/>
      <c r="J87" s="36"/>
      <c r="K87" s="36"/>
      <c r="L87" s="36"/>
    </row>
    <row r="88" spans="1:12" ht="24" customHeight="1" x14ac:dyDescent="0.2">
      <c r="A88" s="117">
        <f t="shared" si="13"/>
        <v>10.039999999999999</v>
      </c>
      <c r="B88" s="105" t="s">
        <v>351</v>
      </c>
      <c r="C88" s="106">
        <v>1</v>
      </c>
      <c r="D88" s="106" t="s">
        <v>300</v>
      </c>
      <c r="E88" s="203"/>
      <c r="F88" s="118">
        <f t="shared" si="3"/>
        <v>0</v>
      </c>
      <c r="G88" s="119"/>
      <c r="H88" s="36"/>
      <c r="I88" s="36"/>
      <c r="J88" s="36"/>
      <c r="K88" s="36"/>
      <c r="L88" s="36"/>
    </row>
    <row r="89" spans="1:12" ht="36" customHeight="1" x14ac:dyDescent="0.2">
      <c r="A89" s="117">
        <f t="shared" si="13"/>
        <v>10.049999999999999</v>
      </c>
      <c r="B89" s="105" t="s">
        <v>332</v>
      </c>
      <c r="C89" s="106">
        <v>4.8</v>
      </c>
      <c r="D89" s="106" t="s">
        <v>19</v>
      </c>
      <c r="E89" s="203"/>
      <c r="F89" s="118">
        <f t="shared" si="3"/>
        <v>0</v>
      </c>
      <c r="G89" s="119"/>
      <c r="H89" s="36"/>
      <c r="I89" s="36"/>
      <c r="J89" s="36"/>
      <c r="K89" s="36"/>
      <c r="L89" s="36"/>
    </row>
    <row r="90" spans="1:12" ht="25.5" customHeight="1" x14ac:dyDescent="0.2">
      <c r="A90" s="117">
        <f t="shared" si="13"/>
        <v>10.059999999999999</v>
      </c>
      <c r="B90" s="105" t="s">
        <v>24</v>
      </c>
      <c r="C90" s="106">
        <v>1</v>
      </c>
      <c r="D90" s="106" t="s">
        <v>300</v>
      </c>
      <c r="E90" s="203"/>
      <c r="F90" s="118">
        <f t="shared" si="3"/>
        <v>0</v>
      </c>
      <c r="G90" s="119"/>
      <c r="H90" s="36"/>
      <c r="I90" s="36"/>
      <c r="J90" s="36"/>
      <c r="K90" s="36"/>
      <c r="L90" s="36"/>
    </row>
    <row r="91" spans="1:12" s="4" customFormat="1" ht="18" customHeight="1" x14ac:dyDescent="0.2">
      <c r="A91" s="5"/>
      <c r="B91" s="6"/>
      <c r="C91" s="7"/>
      <c r="D91" s="8"/>
      <c r="E91" s="17"/>
      <c r="F91" s="9"/>
      <c r="G91" s="10">
        <f>SUM(F85:F90)</f>
        <v>0</v>
      </c>
      <c r="H91" s="36"/>
      <c r="I91" s="36"/>
      <c r="J91" s="3"/>
      <c r="K91" s="12"/>
      <c r="L91" s="12"/>
    </row>
    <row r="92" spans="1:12" ht="19.5" customHeight="1" x14ac:dyDescent="0.2">
      <c r="A92" s="137"/>
      <c r="B92" s="138"/>
      <c r="C92" s="112"/>
      <c r="D92" s="113"/>
      <c r="E92" s="114"/>
      <c r="F92" s="115"/>
      <c r="G92" s="116"/>
      <c r="H92" s="36"/>
      <c r="I92" s="36"/>
    </row>
    <row r="93" spans="1:12" ht="15.75" x14ac:dyDescent="0.2">
      <c r="A93" s="11"/>
      <c r="B93" s="74" t="s">
        <v>25</v>
      </c>
      <c r="C93" s="74"/>
      <c r="D93" s="74"/>
      <c r="E93" s="75"/>
      <c r="F93" s="74"/>
      <c r="G93" s="76">
        <f>G30+G36+G40+G45+G52+G59+G67+G76+G82+G91</f>
        <v>0</v>
      </c>
    </row>
    <row r="94" spans="1:12" ht="15.75" x14ac:dyDescent="0.25">
      <c r="A94" s="139"/>
      <c r="B94" s="140"/>
      <c r="C94" s="162"/>
      <c r="D94" s="162"/>
      <c r="E94" s="162"/>
      <c r="F94" s="141"/>
      <c r="G94" s="142"/>
    </row>
    <row r="95" spans="1:12" ht="15.75" x14ac:dyDescent="0.25">
      <c r="A95" s="143">
        <v>11</v>
      </c>
      <c r="B95" s="144" t="s">
        <v>26</v>
      </c>
      <c r="C95" s="145"/>
      <c r="D95" s="79"/>
      <c r="E95" s="146"/>
      <c r="F95" s="79"/>
      <c r="G95" s="79"/>
    </row>
    <row r="96" spans="1:12" ht="15.75" x14ac:dyDescent="0.2">
      <c r="A96" s="148" t="s">
        <v>27</v>
      </c>
      <c r="B96" s="149" t="s">
        <v>0</v>
      </c>
      <c r="C96" s="149"/>
      <c r="D96" s="150" t="s">
        <v>28</v>
      </c>
      <c r="E96" s="150"/>
      <c r="F96" s="150"/>
      <c r="G96" s="150" t="s">
        <v>29</v>
      </c>
    </row>
    <row r="97" spans="1:7" ht="15" x14ac:dyDescent="0.2">
      <c r="A97" s="37"/>
      <c r="B97" s="80"/>
      <c r="C97" s="77"/>
      <c r="D97" s="78"/>
      <c r="E97" s="81"/>
      <c r="F97" s="82"/>
      <c r="G97" s="83"/>
    </row>
    <row r="98" spans="1:7" ht="15.75" customHeight="1" x14ac:dyDescent="0.2">
      <c r="A98" s="136">
        <f>A95+0.01</f>
        <v>11.01</v>
      </c>
      <c r="B98" s="80" t="s">
        <v>30</v>
      </c>
      <c r="C98" s="77"/>
      <c r="D98" s="147">
        <v>0.1</v>
      </c>
      <c r="E98" s="81"/>
      <c r="F98" s="82"/>
      <c r="G98" s="85">
        <f>ROUND(D98*G$93,2)</f>
        <v>0</v>
      </c>
    </row>
    <row r="99" spans="1:7" ht="15.75" customHeight="1" x14ac:dyDescent="0.2">
      <c r="A99" s="136">
        <f>A98+0.01</f>
        <v>11.02</v>
      </c>
      <c r="B99" s="80" t="s">
        <v>31</v>
      </c>
      <c r="C99" s="77"/>
      <c r="D99" s="147">
        <v>0.03</v>
      </c>
      <c r="E99" s="81"/>
      <c r="F99" s="82"/>
      <c r="G99" s="85">
        <f>ROUND(D99*G$93,2)</f>
        <v>0</v>
      </c>
    </row>
    <row r="100" spans="1:7" ht="15.75" customHeight="1" x14ac:dyDescent="0.2">
      <c r="A100" s="136">
        <f>A99+0.01</f>
        <v>11.03</v>
      </c>
      <c r="B100" s="80" t="s">
        <v>32</v>
      </c>
      <c r="C100" s="77"/>
      <c r="D100" s="147">
        <v>2.5000000000000001E-2</v>
      </c>
      <c r="E100" s="81"/>
      <c r="F100" s="82"/>
      <c r="G100" s="85">
        <f>ROUND(D100*G$93,2)</f>
        <v>0</v>
      </c>
    </row>
    <row r="101" spans="1:7" ht="15.75" customHeight="1" x14ac:dyDescent="0.25">
      <c r="A101" s="151"/>
      <c r="B101" s="149" t="s">
        <v>9</v>
      </c>
      <c r="C101" s="149"/>
      <c r="D101" s="152"/>
      <c r="E101" s="153"/>
      <c r="F101" s="149"/>
      <c r="G101" s="154">
        <f>SUM(G98:G100)</f>
        <v>0</v>
      </c>
    </row>
    <row r="102" spans="1:7" ht="15" x14ac:dyDescent="0.2">
      <c r="A102" s="38"/>
      <c r="B102" s="80"/>
      <c r="C102" s="77"/>
      <c r="D102" s="147"/>
      <c r="E102" s="81"/>
      <c r="F102" s="82"/>
      <c r="G102" s="85"/>
    </row>
    <row r="103" spans="1:7" ht="15.75" x14ac:dyDescent="0.25">
      <c r="A103" s="151"/>
      <c r="B103" s="149" t="s">
        <v>33</v>
      </c>
      <c r="C103" s="149"/>
      <c r="D103" s="152"/>
      <c r="E103" s="153"/>
      <c r="F103" s="149"/>
      <c r="G103" s="154">
        <f>G101+G93</f>
        <v>0</v>
      </c>
    </row>
    <row r="104" spans="1:7" ht="15" x14ac:dyDescent="0.2">
      <c r="A104" s="38"/>
      <c r="B104" s="80"/>
      <c r="C104" s="77"/>
      <c r="D104" s="147"/>
      <c r="E104" s="81"/>
      <c r="F104" s="82"/>
      <c r="G104" s="85"/>
    </row>
    <row r="105" spans="1:7" ht="15.75" x14ac:dyDescent="0.25">
      <c r="A105" s="151"/>
      <c r="B105" s="149" t="s">
        <v>34</v>
      </c>
      <c r="C105" s="149"/>
      <c r="D105" s="155">
        <v>0.1</v>
      </c>
      <c r="E105" s="153"/>
      <c r="F105" s="149"/>
      <c r="G105" s="154">
        <f>ROUND(D105*G103,2)</f>
        <v>0</v>
      </c>
    </row>
    <row r="106" spans="1:7" ht="15" x14ac:dyDescent="0.2">
      <c r="A106" s="38"/>
      <c r="B106" s="80"/>
      <c r="C106" s="77"/>
      <c r="D106" s="147"/>
      <c r="E106" s="81"/>
      <c r="F106" s="82"/>
      <c r="G106" s="85"/>
    </row>
    <row r="107" spans="1:7" ht="17.25" customHeight="1" x14ac:dyDescent="0.2">
      <c r="A107" s="136">
        <f>A100+0.01</f>
        <v>11.04</v>
      </c>
      <c r="B107" s="80" t="s">
        <v>35</v>
      </c>
      <c r="C107" s="77"/>
      <c r="D107" s="147">
        <v>0.18</v>
      </c>
      <c r="E107" s="81"/>
      <c r="F107" s="82"/>
      <c r="G107" s="85">
        <f>ROUND(D107*G$105,2)</f>
        <v>0</v>
      </c>
    </row>
    <row r="108" spans="1:7" ht="17.25" customHeight="1" x14ac:dyDescent="0.2">
      <c r="A108" s="136">
        <f>A107+0.01</f>
        <v>11.049999999999999</v>
      </c>
      <c r="B108" s="80" t="s">
        <v>36</v>
      </c>
      <c r="C108" s="77"/>
      <c r="D108" s="147">
        <v>4.4999999999999998E-2</v>
      </c>
      <c r="E108" s="81"/>
      <c r="F108" s="82"/>
      <c r="G108" s="85">
        <f>ROUND(D108*G$93,2)</f>
        <v>0</v>
      </c>
    </row>
    <row r="109" spans="1:7" ht="17.25" customHeight="1" x14ac:dyDescent="0.2">
      <c r="A109" s="136">
        <f t="shared" ref="A109:A112" si="14">A108+0.01</f>
        <v>11.059999999999999</v>
      </c>
      <c r="B109" s="80" t="s">
        <v>37</v>
      </c>
      <c r="C109" s="77"/>
      <c r="D109" s="147">
        <v>0.01</v>
      </c>
      <c r="E109" s="81"/>
      <c r="F109" s="82"/>
      <c r="G109" s="85">
        <f>ROUND(D109*G$93,2)</f>
        <v>0</v>
      </c>
    </row>
    <row r="110" spans="1:7" ht="17.25" customHeight="1" x14ac:dyDescent="0.2">
      <c r="A110" s="136">
        <f t="shared" si="14"/>
        <v>11.069999999999999</v>
      </c>
      <c r="B110" s="80" t="s">
        <v>38</v>
      </c>
      <c r="C110" s="77"/>
      <c r="D110" s="147">
        <v>1E-3</v>
      </c>
      <c r="E110" s="81"/>
      <c r="F110" s="82"/>
      <c r="G110" s="85">
        <f>ROUND(D110*G$93,2)</f>
        <v>0</v>
      </c>
    </row>
    <row r="111" spans="1:7" ht="17.25" customHeight="1" x14ac:dyDescent="0.2">
      <c r="A111" s="136">
        <f t="shared" si="14"/>
        <v>11.079999999999998</v>
      </c>
      <c r="B111" s="80" t="s">
        <v>39</v>
      </c>
      <c r="C111" s="77"/>
      <c r="D111" s="147">
        <v>0.01</v>
      </c>
      <c r="E111" s="81"/>
      <c r="F111" s="82"/>
      <c r="G111" s="85">
        <f>ROUND(D111*G$93,2)</f>
        <v>0</v>
      </c>
    </row>
    <row r="112" spans="1:7" ht="17.25" customHeight="1" x14ac:dyDescent="0.2">
      <c r="A112" s="136">
        <f t="shared" si="14"/>
        <v>11.089999999999998</v>
      </c>
      <c r="B112" s="80" t="s">
        <v>40</v>
      </c>
      <c r="C112" s="77"/>
      <c r="D112" s="147">
        <v>0.02</v>
      </c>
      <c r="E112" s="81"/>
      <c r="F112" s="82"/>
      <c r="G112" s="85">
        <f>ROUND(D112*G$93,2)</f>
        <v>0</v>
      </c>
    </row>
    <row r="113" spans="1:7" ht="17.25" customHeight="1" x14ac:dyDescent="0.25">
      <c r="A113" s="156"/>
      <c r="B113" s="157" t="s">
        <v>9</v>
      </c>
      <c r="C113" s="158"/>
      <c r="D113" s="159"/>
      <c r="E113" s="160"/>
      <c r="F113" s="159"/>
      <c r="G113" s="161">
        <f>SUM(G107:G112)</f>
        <v>0</v>
      </c>
    </row>
    <row r="114" spans="1:7" ht="17.25" customHeight="1" x14ac:dyDescent="0.2">
      <c r="A114" s="38"/>
      <c r="B114" s="80"/>
      <c r="C114" s="77"/>
      <c r="D114" s="84"/>
      <c r="E114" s="81"/>
      <c r="F114" s="82"/>
      <c r="G114" s="85"/>
    </row>
    <row r="115" spans="1:7" ht="17.25" customHeight="1" x14ac:dyDescent="0.25">
      <c r="A115" s="151"/>
      <c r="B115" s="149" t="s">
        <v>41</v>
      </c>
      <c r="C115" s="149"/>
      <c r="D115" s="149"/>
      <c r="E115" s="150"/>
      <c r="F115" s="149"/>
      <c r="G115" s="154">
        <f>G113+G101</f>
        <v>0</v>
      </c>
    </row>
    <row r="116" spans="1:7" ht="17.25" customHeight="1" x14ac:dyDescent="0.2">
      <c r="A116" s="37"/>
      <c r="B116" s="80"/>
      <c r="C116" s="77"/>
      <c r="D116" s="86"/>
      <c r="E116" s="81"/>
      <c r="F116" s="82"/>
      <c r="G116" s="83"/>
    </row>
    <row r="117" spans="1:7" ht="17.25" customHeight="1" x14ac:dyDescent="0.2">
      <c r="A117" s="136">
        <v>11.1</v>
      </c>
      <c r="B117" s="80" t="s">
        <v>42</v>
      </c>
      <c r="C117" s="77"/>
      <c r="D117" s="147">
        <v>0.05</v>
      </c>
      <c r="E117" s="81"/>
      <c r="F117" s="87"/>
      <c r="G117" s="85">
        <f>ROUND(D117*G$93,2)</f>
        <v>0</v>
      </c>
    </row>
    <row r="118" spans="1:7" ht="17.25" customHeight="1" x14ac:dyDescent="0.2">
      <c r="A118" s="37"/>
      <c r="B118" s="80"/>
      <c r="C118" s="77"/>
      <c r="D118" s="78"/>
      <c r="E118" s="81"/>
      <c r="F118" s="82"/>
      <c r="G118" s="83"/>
    </row>
    <row r="119" spans="1:7" ht="17.25" customHeight="1" x14ac:dyDescent="0.25">
      <c r="A119" s="151"/>
      <c r="B119" s="149" t="s">
        <v>43</v>
      </c>
      <c r="C119" s="149"/>
      <c r="D119" s="149"/>
      <c r="E119" s="150"/>
      <c r="F119" s="149"/>
      <c r="G119" s="154">
        <f>G117+G115+G93</f>
        <v>0</v>
      </c>
    </row>
  </sheetData>
  <sheetProtection password="CA6E" sheet="1" objects="1" scenarios="1"/>
  <mergeCells count="9">
    <mergeCell ref="C94:E94"/>
    <mergeCell ref="M8:O8"/>
    <mergeCell ref="A12:G12"/>
    <mergeCell ref="A10:G10"/>
    <mergeCell ref="A6:G6"/>
    <mergeCell ref="A8:C8"/>
    <mergeCell ref="D8:F8"/>
    <mergeCell ref="H8:L8"/>
    <mergeCell ref="A9:G9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scale="51" orientation="portrait" horizontalDpi="4294967295" verticalDpi="4294967295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8"/>
  <sheetViews>
    <sheetView topLeftCell="A669" zoomScale="145" zoomScaleNormal="145" workbookViewId="0">
      <selection activeCell="H354" sqref="H354"/>
    </sheetView>
  </sheetViews>
  <sheetFormatPr baseColWidth="10" defaultColWidth="11.42578125" defaultRowHeight="15" x14ac:dyDescent="0.25"/>
  <cols>
    <col min="2" max="2" width="45.28515625" customWidth="1"/>
    <col min="5" max="5" width="13.140625" customWidth="1"/>
    <col min="6" max="6" width="19.5703125" customWidth="1"/>
    <col min="7" max="7" width="13.28515625" customWidth="1"/>
  </cols>
  <sheetData>
    <row r="1" spans="1:6" ht="15.75" x14ac:dyDescent="0.25">
      <c r="A1" s="61"/>
      <c r="B1" s="62" t="s">
        <v>44</v>
      </c>
      <c r="C1" s="61"/>
      <c r="D1" s="61"/>
      <c r="E1" s="61"/>
      <c r="F1" s="61"/>
    </row>
    <row r="2" spans="1:6" ht="24" customHeight="1" x14ac:dyDescent="0.25">
      <c r="B2" s="60" t="s">
        <v>45</v>
      </c>
    </row>
    <row r="3" spans="1:6" ht="11.25" customHeight="1" x14ac:dyDescent="0.25"/>
    <row r="4" spans="1:6" ht="27.75" customHeight="1" x14ac:dyDescent="0.25">
      <c r="A4" s="39"/>
      <c r="B4" s="40" t="s">
        <v>1</v>
      </c>
      <c r="C4" s="41"/>
      <c r="D4" s="41"/>
      <c r="E4" s="42" t="s">
        <v>46</v>
      </c>
      <c r="F4" s="43">
        <v>5</v>
      </c>
    </row>
    <row r="5" spans="1:6" s="63" customFormat="1" x14ac:dyDescent="0.25">
      <c r="A5" s="44" t="s">
        <v>47</v>
      </c>
      <c r="B5" s="44" t="s">
        <v>48</v>
      </c>
      <c r="C5" s="44" t="s">
        <v>49</v>
      </c>
      <c r="D5" s="44" t="s">
        <v>50</v>
      </c>
      <c r="E5" s="44" t="s">
        <v>51</v>
      </c>
      <c r="F5" s="44" t="s">
        <v>52</v>
      </c>
    </row>
    <row r="6" spans="1:6" ht="6.75" customHeight="1" x14ac:dyDescent="0.25"/>
    <row r="7" spans="1:6" x14ac:dyDescent="0.25">
      <c r="A7" s="45"/>
      <c r="B7" s="46" t="s">
        <v>53</v>
      </c>
      <c r="C7" s="47">
        <v>1</v>
      </c>
      <c r="D7" s="48" t="s">
        <v>54</v>
      </c>
      <c r="E7" s="49">
        <v>1898.49</v>
      </c>
      <c r="F7" s="50">
        <f>C7*E7</f>
        <v>1898.49</v>
      </c>
    </row>
    <row r="8" spans="1:6" x14ac:dyDescent="0.25">
      <c r="A8" s="45"/>
      <c r="B8" s="46" t="s">
        <v>55</v>
      </c>
      <c r="C8" s="47">
        <v>1</v>
      </c>
      <c r="D8" s="48" t="s">
        <v>54</v>
      </c>
      <c r="E8" s="49">
        <v>1024.8699999999999</v>
      </c>
      <c r="F8" s="50">
        <f>C8*E8</f>
        <v>1024.8699999999999</v>
      </c>
    </row>
    <row r="9" spans="1:6" x14ac:dyDescent="0.25">
      <c r="A9" s="45"/>
      <c r="B9" s="46" t="s">
        <v>56</v>
      </c>
      <c r="C9" s="47">
        <v>1.4999999999999999E-2</v>
      </c>
      <c r="D9" s="48" t="s">
        <v>10</v>
      </c>
      <c r="E9" s="49">
        <f>SUM(F6:F8)</f>
        <v>2923.3599999999997</v>
      </c>
      <c r="F9" s="50">
        <f>C9*E9</f>
        <v>43.850399999999993</v>
      </c>
    </row>
    <row r="10" spans="1:6" x14ac:dyDescent="0.25">
      <c r="A10" s="51"/>
      <c r="B10" s="52"/>
      <c r="C10" s="53"/>
      <c r="D10" s="54"/>
      <c r="E10" s="55"/>
      <c r="F10" s="56"/>
    </row>
    <row r="11" spans="1:6" ht="15.75" x14ac:dyDescent="0.25">
      <c r="A11" s="167"/>
      <c r="B11" s="167"/>
      <c r="C11" s="167"/>
      <c r="D11" s="57" t="s">
        <v>57</v>
      </c>
      <c r="E11" s="58"/>
      <c r="F11" s="59">
        <f>SUM(F7:F10)/F4</f>
        <v>593.44207999999992</v>
      </c>
    </row>
    <row r="13" spans="1:6" ht="27.75" customHeight="1" x14ac:dyDescent="0.25">
      <c r="A13" s="39"/>
      <c r="B13" s="40" t="s">
        <v>58</v>
      </c>
      <c r="C13" s="41"/>
      <c r="D13" s="41"/>
      <c r="E13" s="42" t="s">
        <v>46</v>
      </c>
      <c r="F13" s="43">
        <v>6</v>
      </c>
    </row>
    <row r="14" spans="1:6" s="63" customFormat="1" x14ac:dyDescent="0.25">
      <c r="A14" s="44" t="s">
        <v>47</v>
      </c>
      <c r="B14" s="44" t="s">
        <v>48</v>
      </c>
      <c r="C14" s="44" t="s">
        <v>49</v>
      </c>
      <c r="D14" s="44" t="s">
        <v>50</v>
      </c>
      <c r="E14" s="44" t="s">
        <v>51</v>
      </c>
      <c r="F14" s="44" t="s">
        <v>52</v>
      </c>
    </row>
    <row r="15" spans="1:6" ht="6.75" customHeight="1" x14ac:dyDescent="0.25"/>
    <row r="16" spans="1:6" x14ac:dyDescent="0.25">
      <c r="A16" s="45"/>
      <c r="B16" s="46" t="s">
        <v>53</v>
      </c>
      <c r="C16" s="47">
        <v>1.1000000000000001</v>
      </c>
      <c r="D16" s="48" t="s">
        <v>54</v>
      </c>
      <c r="E16" s="49">
        <v>1898.49</v>
      </c>
      <c r="F16" s="50">
        <f>C16*E16</f>
        <v>2088.3390000000004</v>
      </c>
    </row>
    <row r="17" spans="1:6" x14ac:dyDescent="0.25">
      <c r="A17" s="45"/>
      <c r="B17" s="46" t="s">
        <v>55</v>
      </c>
      <c r="C17" s="47">
        <v>1.1000000000000001</v>
      </c>
      <c r="D17" s="48" t="s">
        <v>54</v>
      </c>
      <c r="E17" s="49">
        <v>1024.8699999999999</v>
      </c>
      <c r="F17" s="50">
        <f>C17*E17</f>
        <v>1127.357</v>
      </c>
    </row>
    <row r="18" spans="1:6" x14ac:dyDescent="0.25">
      <c r="A18" s="45"/>
      <c r="B18" s="46" t="s">
        <v>56</v>
      </c>
      <c r="C18" s="47">
        <v>1.4999999999999999E-2</v>
      </c>
      <c r="D18" s="48" t="s">
        <v>10</v>
      </c>
      <c r="E18" s="49">
        <f>SUM(F15:F17)</f>
        <v>3215.6960000000004</v>
      </c>
      <c r="F18" s="50">
        <f>C18*E18</f>
        <v>48.235440000000004</v>
      </c>
    </row>
    <row r="19" spans="1:6" x14ac:dyDescent="0.25">
      <c r="A19" s="51"/>
      <c r="B19" s="52"/>
      <c r="C19" s="53"/>
      <c r="D19" s="54"/>
      <c r="E19" s="55"/>
      <c r="F19" s="56"/>
    </row>
    <row r="20" spans="1:6" ht="15.75" x14ac:dyDescent="0.25">
      <c r="A20" s="167"/>
      <c r="B20" s="167"/>
      <c r="C20" s="167"/>
      <c r="D20" s="57" t="s">
        <v>57</v>
      </c>
      <c r="E20" s="58"/>
      <c r="F20" s="59">
        <f>SUM(F16:F19)/F13</f>
        <v>543.98857333333342</v>
      </c>
    </row>
    <row r="22" spans="1:6" ht="27.75" customHeight="1" x14ac:dyDescent="0.25">
      <c r="A22" s="39"/>
      <c r="B22" s="40" t="s">
        <v>59</v>
      </c>
      <c r="C22" s="41"/>
      <c r="D22" s="41"/>
      <c r="E22" s="42" t="s">
        <v>46</v>
      </c>
      <c r="F22" s="43">
        <v>1</v>
      </c>
    </row>
    <row r="23" spans="1:6" s="63" customFormat="1" x14ac:dyDescent="0.25">
      <c r="A23" s="44" t="s">
        <v>47</v>
      </c>
      <c r="B23" s="44" t="s">
        <v>48</v>
      </c>
      <c r="C23" s="44" t="s">
        <v>49</v>
      </c>
      <c r="D23" s="44" t="s">
        <v>50</v>
      </c>
      <c r="E23" s="44" t="s">
        <v>51</v>
      </c>
      <c r="F23" s="44" t="s">
        <v>52</v>
      </c>
    </row>
    <row r="24" spans="1:6" ht="6.75" customHeight="1" x14ac:dyDescent="0.25"/>
    <row r="25" spans="1:6" x14ac:dyDescent="0.25">
      <c r="A25" s="45"/>
      <c r="B25" s="46" t="s">
        <v>53</v>
      </c>
      <c r="C25" s="47">
        <v>0.6</v>
      </c>
      <c r="D25" s="48" t="s">
        <v>54</v>
      </c>
      <c r="E25" s="49">
        <v>1898.49</v>
      </c>
      <c r="F25" s="50">
        <f>C25*E25</f>
        <v>1139.0940000000001</v>
      </c>
    </row>
    <row r="26" spans="1:6" x14ac:dyDescent="0.25">
      <c r="A26" s="45"/>
      <c r="B26" s="46" t="s">
        <v>55</v>
      </c>
      <c r="C26" s="47">
        <v>0.5</v>
      </c>
      <c r="D26" s="48" t="s">
        <v>54</v>
      </c>
      <c r="E26" s="49">
        <v>1024.8699999999999</v>
      </c>
      <c r="F26" s="50">
        <f>C26*E26</f>
        <v>512.43499999999995</v>
      </c>
    </row>
    <row r="27" spans="1:6" x14ac:dyDescent="0.25">
      <c r="A27" s="45"/>
      <c r="B27" s="46" t="s">
        <v>60</v>
      </c>
      <c r="C27" s="47">
        <f>C25*0.2</f>
        <v>0.12</v>
      </c>
      <c r="D27" s="48" t="s">
        <v>54</v>
      </c>
      <c r="E27" s="49">
        <v>2392.17</v>
      </c>
      <c r="F27" s="50">
        <f>C27*E27</f>
        <v>287.06040000000002</v>
      </c>
    </row>
    <row r="28" spans="1:6" x14ac:dyDescent="0.25">
      <c r="A28" s="45"/>
      <c r="B28" s="46" t="s">
        <v>61</v>
      </c>
      <c r="C28" s="47">
        <v>1</v>
      </c>
      <c r="D28" s="48" t="s">
        <v>62</v>
      </c>
      <c r="E28" s="49">
        <v>385</v>
      </c>
      <c r="F28" s="50">
        <f>C28*E28</f>
        <v>385</v>
      </c>
    </row>
    <row r="29" spans="1:6" x14ac:dyDescent="0.25">
      <c r="A29" s="45"/>
      <c r="B29" s="46" t="s">
        <v>56</v>
      </c>
      <c r="C29" s="47">
        <v>1.4999999999999999E-2</v>
      </c>
      <c r="D29" s="48" t="s">
        <v>10</v>
      </c>
      <c r="E29" s="49">
        <f>SUM(F24:F26)</f>
        <v>1651.529</v>
      </c>
      <c r="F29" s="50">
        <f>C29*E29</f>
        <v>24.772935</v>
      </c>
    </row>
    <row r="30" spans="1:6" x14ac:dyDescent="0.25">
      <c r="A30" s="51"/>
      <c r="B30" s="52"/>
      <c r="C30" s="53"/>
      <c r="D30" s="54"/>
      <c r="E30" s="55"/>
      <c r="F30" s="56"/>
    </row>
    <row r="31" spans="1:6" ht="15.75" x14ac:dyDescent="0.25">
      <c r="A31" s="167"/>
      <c r="B31" s="167"/>
      <c r="C31" s="167"/>
      <c r="D31" s="57" t="s">
        <v>57</v>
      </c>
      <c r="E31" s="58"/>
      <c r="F31" s="59">
        <f>SUM(F25:F30)/F22</f>
        <v>2348.3623349999998</v>
      </c>
    </row>
    <row r="33" spans="1:6" ht="28.5" customHeight="1" x14ac:dyDescent="0.25">
      <c r="A33" s="39"/>
      <c r="B33" s="40" t="s">
        <v>63</v>
      </c>
      <c r="C33" s="41"/>
      <c r="D33" s="41"/>
      <c r="E33" s="42" t="s">
        <v>46</v>
      </c>
      <c r="F33" s="43">
        <v>7</v>
      </c>
    </row>
    <row r="34" spans="1:6" s="63" customFormat="1" x14ac:dyDescent="0.25">
      <c r="A34" s="44" t="s">
        <v>47</v>
      </c>
      <c r="B34" s="44" t="s">
        <v>48</v>
      </c>
      <c r="C34" s="44" t="s">
        <v>49</v>
      </c>
      <c r="D34" s="44" t="s">
        <v>50</v>
      </c>
      <c r="E34" s="44" t="s">
        <v>51</v>
      </c>
      <c r="F34" s="44" t="s">
        <v>52</v>
      </c>
    </row>
    <row r="35" spans="1:6" ht="6.75" customHeight="1" x14ac:dyDescent="0.25"/>
    <row r="36" spans="1:6" x14ac:dyDescent="0.25">
      <c r="A36" s="45"/>
      <c r="B36" s="46" t="s">
        <v>64</v>
      </c>
      <c r="C36" s="47">
        <v>2.2280000000000002</v>
      </c>
      <c r="D36" s="48" t="s">
        <v>54</v>
      </c>
      <c r="E36" s="49">
        <f>1518.55*2</f>
        <v>3037.1</v>
      </c>
      <c r="F36" s="50">
        <f>C36*E36</f>
        <v>6766.6588000000002</v>
      </c>
    </row>
    <row r="37" spans="1:6" x14ac:dyDescent="0.25">
      <c r="A37" s="45"/>
      <c r="B37" s="46" t="s">
        <v>65</v>
      </c>
      <c r="C37" s="47">
        <v>2.2280000000000002</v>
      </c>
      <c r="D37" s="48" t="s">
        <v>54</v>
      </c>
      <c r="E37" s="49">
        <f>797.39*2</f>
        <v>1594.78</v>
      </c>
      <c r="F37" s="50">
        <f>C37*E37</f>
        <v>3553.1698400000005</v>
      </c>
    </row>
    <row r="38" spans="1:6" x14ac:dyDescent="0.25">
      <c r="A38" s="45"/>
      <c r="B38" s="46" t="s">
        <v>60</v>
      </c>
      <c r="C38" s="47">
        <f>+C37*0.1</f>
        <v>0.22280000000000003</v>
      </c>
      <c r="D38" s="48" t="s">
        <v>54</v>
      </c>
      <c r="E38" s="49">
        <f>E27</f>
        <v>2392.17</v>
      </c>
      <c r="F38" s="50">
        <f>C38*E38</f>
        <v>532.97547600000007</v>
      </c>
    </row>
    <row r="39" spans="1:6" x14ac:dyDescent="0.25">
      <c r="A39" s="45"/>
      <c r="B39" s="46" t="s">
        <v>66</v>
      </c>
      <c r="C39" s="47">
        <v>2.2280000000000002</v>
      </c>
      <c r="D39" s="48" t="s">
        <v>54</v>
      </c>
      <c r="E39" s="49">
        <v>2500</v>
      </c>
      <c r="F39" s="50">
        <f>C39*E39</f>
        <v>5570.0000000000009</v>
      </c>
    </row>
    <row r="40" spans="1:6" x14ac:dyDescent="0.25">
      <c r="A40" s="45"/>
      <c r="B40" s="46" t="s">
        <v>56</v>
      </c>
      <c r="C40" s="47">
        <v>1.4999999999999999E-2</v>
      </c>
      <c r="D40" s="48" t="s">
        <v>10</v>
      </c>
      <c r="E40" s="49">
        <f>SUM(F35:F37)</f>
        <v>10319.82864</v>
      </c>
      <c r="F40" s="50">
        <f>C40*E40</f>
        <v>154.79742959999999</v>
      </c>
    </row>
    <row r="41" spans="1:6" x14ac:dyDescent="0.25">
      <c r="A41" s="51"/>
      <c r="B41" s="52"/>
      <c r="C41" s="53"/>
      <c r="D41" s="54"/>
      <c r="E41" s="55"/>
      <c r="F41" s="56"/>
    </row>
    <row r="42" spans="1:6" ht="15.75" x14ac:dyDescent="0.25">
      <c r="A42" s="167"/>
      <c r="B42" s="167"/>
      <c r="C42" s="167"/>
      <c r="D42" s="57" t="s">
        <v>67</v>
      </c>
      <c r="E42" s="58"/>
      <c r="F42" s="59">
        <f>SUM(F36:F41)/F33</f>
        <v>2368.2287922285714</v>
      </c>
    </row>
    <row r="44" spans="1:6" ht="28.5" customHeight="1" x14ac:dyDescent="0.25">
      <c r="A44" s="39"/>
      <c r="B44" s="40" t="s">
        <v>3</v>
      </c>
      <c r="C44" s="41"/>
      <c r="D44" s="41"/>
      <c r="E44" s="42" t="s">
        <v>46</v>
      </c>
      <c r="F44" s="43">
        <v>17.510000000000002</v>
      </c>
    </row>
    <row r="45" spans="1:6" s="63" customFormat="1" x14ac:dyDescent="0.25">
      <c r="A45" s="44" t="s">
        <v>47</v>
      </c>
      <c r="B45" s="44" t="s">
        <v>48</v>
      </c>
      <c r="C45" s="44" t="s">
        <v>49</v>
      </c>
      <c r="D45" s="44" t="s">
        <v>50</v>
      </c>
      <c r="E45" s="44" t="s">
        <v>51</v>
      </c>
      <c r="F45" s="44" t="s">
        <v>52</v>
      </c>
    </row>
    <row r="46" spans="1:6" ht="6.75" customHeight="1" x14ac:dyDescent="0.25"/>
    <row r="47" spans="1:6" x14ac:dyDescent="0.25">
      <c r="A47" s="45"/>
      <c r="B47" s="46" t="s">
        <v>64</v>
      </c>
      <c r="C47" s="47">
        <v>0.88</v>
      </c>
      <c r="D47" s="48" t="s">
        <v>54</v>
      </c>
      <c r="E47" s="49">
        <v>1518.55</v>
      </c>
      <c r="F47" s="50">
        <f>C47*E47</f>
        <v>1336.3240000000001</v>
      </c>
    </row>
    <row r="48" spans="1:6" x14ac:dyDescent="0.25">
      <c r="A48" s="45"/>
      <c r="B48" s="46" t="s">
        <v>68</v>
      </c>
      <c r="C48" s="47">
        <v>0.88</v>
      </c>
      <c r="D48" s="48" t="s">
        <v>54</v>
      </c>
      <c r="E48" s="49">
        <v>797.39</v>
      </c>
      <c r="F48" s="50">
        <f>C48*E48</f>
        <v>701.70320000000004</v>
      </c>
    </row>
    <row r="49" spans="1:6" x14ac:dyDescent="0.25">
      <c r="A49" s="45"/>
      <c r="B49" s="46" t="s">
        <v>56</v>
      </c>
      <c r="C49" s="47">
        <v>1.4999999999999999E-2</v>
      </c>
      <c r="D49" s="48" t="s">
        <v>10</v>
      </c>
      <c r="E49" s="49">
        <f>SUM(F46:F48)</f>
        <v>2038.0272</v>
      </c>
      <c r="F49" s="50">
        <f>C49*E49</f>
        <v>30.570408</v>
      </c>
    </row>
    <row r="50" spans="1:6" x14ac:dyDescent="0.25">
      <c r="A50" s="51"/>
      <c r="B50" s="52"/>
      <c r="C50" s="53"/>
      <c r="D50" s="54"/>
      <c r="E50" s="55"/>
      <c r="F50" s="56"/>
    </row>
    <row r="51" spans="1:6" ht="15.75" x14ac:dyDescent="0.25">
      <c r="A51" s="167"/>
      <c r="B51" s="167"/>
      <c r="C51" s="167"/>
      <c r="D51" s="57" t="s">
        <v>69</v>
      </c>
      <c r="E51" s="58"/>
      <c r="F51" s="59">
        <f>SUM(F47:F50)/F44</f>
        <v>118.1380701313535</v>
      </c>
    </row>
    <row r="53" spans="1:6" x14ac:dyDescent="0.25">
      <c r="A53" s="33"/>
      <c r="B53" s="19" t="s">
        <v>70</v>
      </c>
      <c r="C53" s="20">
        <v>1</v>
      </c>
      <c r="D53" s="20" t="s">
        <v>71</v>
      </c>
      <c r="E53" s="21"/>
      <c r="F53" s="22"/>
    </row>
    <row r="54" spans="1:6" x14ac:dyDescent="0.25">
      <c r="A54" s="34"/>
      <c r="B54" s="23" t="s">
        <v>72</v>
      </c>
      <c r="C54" s="24"/>
      <c r="D54" s="24"/>
      <c r="E54" s="24"/>
      <c r="F54" s="25"/>
    </row>
    <row r="55" spans="1:6" x14ac:dyDescent="0.25">
      <c r="A55" s="34"/>
      <c r="B55" s="23" t="s">
        <v>73</v>
      </c>
      <c r="C55" s="27">
        <v>1</v>
      </c>
      <c r="D55" s="27" t="s">
        <v>71</v>
      </c>
      <c r="E55" s="27"/>
      <c r="F55" s="25"/>
    </row>
    <row r="56" spans="1:6" x14ac:dyDescent="0.25">
      <c r="A56" s="34"/>
      <c r="B56" s="23" t="s">
        <v>74</v>
      </c>
      <c r="C56" s="27"/>
      <c r="D56" s="27"/>
      <c r="E56" s="27"/>
      <c r="F56" s="25"/>
    </row>
    <row r="57" spans="1:6" x14ac:dyDescent="0.25">
      <c r="A57" s="34"/>
      <c r="B57" s="28" t="s">
        <v>75</v>
      </c>
      <c r="C57" s="27">
        <f>0.0315*1.1</f>
        <v>3.465E-2</v>
      </c>
      <c r="D57" s="30" t="s">
        <v>76</v>
      </c>
      <c r="E57" s="30">
        <v>5775.16</v>
      </c>
      <c r="F57" s="31">
        <f t="shared" ref="F57:F62" si="0">ROUND((C57*(E57)),2)</f>
        <v>200.11</v>
      </c>
    </row>
    <row r="58" spans="1:6" x14ac:dyDescent="0.25">
      <c r="A58" s="35"/>
      <c r="B58" s="28" t="s">
        <v>77</v>
      </c>
      <c r="C58" s="27">
        <v>1.1000000000000001</v>
      </c>
      <c r="D58" s="30" t="s">
        <v>71</v>
      </c>
      <c r="E58" s="30">
        <v>1300</v>
      </c>
      <c r="F58" s="31">
        <f t="shared" si="0"/>
        <v>1430</v>
      </c>
    </row>
    <row r="59" spans="1:6" x14ac:dyDescent="0.25">
      <c r="A59" s="35"/>
      <c r="B59" s="28" t="s">
        <v>78</v>
      </c>
      <c r="C59" s="29">
        <v>4.4999999999999998E-2</v>
      </c>
      <c r="D59" s="30" t="s">
        <v>79</v>
      </c>
      <c r="E59" s="30">
        <v>1200</v>
      </c>
      <c r="F59" s="31">
        <f t="shared" si="0"/>
        <v>54</v>
      </c>
    </row>
    <row r="60" spans="1:6" x14ac:dyDescent="0.25">
      <c r="A60" s="35"/>
      <c r="B60" s="28" t="s">
        <v>80</v>
      </c>
      <c r="C60" s="27">
        <v>0.05</v>
      </c>
      <c r="D60" s="30" t="s">
        <v>81</v>
      </c>
      <c r="E60" s="30">
        <v>150</v>
      </c>
      <c r="F60" s="31">
        <f t="shared" si="0"/>
        <v>7.5</v>
      </c>
    </row>
    <row r="61" spans="1:6" x14ac:dyDescent="0.25">
      <c r="A61" s="35"/>
      <c r="B61" s="28" t="s">
        <v>82</v>
      </c>
      <c r="C61" s="27">
        <v>4.5</v>
      </c>
      <c r="D61" s="30" t="s">
        <v>83</v>
      </c>
      <c r="E61" s="30">
        <v>35</v>
      </c>
      <c r="F61" s="31">
        <f t="shared" si="0"/>
        <v>157.5</v>
      </c>
    </row>
    <row r="62" spans="1:6" x14ac:dyDescent="0.25">
      <c r="A62" s="35"/>
      <c r="B62" s="28" t="s">
        <v>84</v>
      </c>
      <c r="C62" s="27">
        <v>1</v>
      </c>
      <c r="D62" s="30" t="s">
        <v>10</v>
      </c>
      <c r="E62" s="30">
        <f>F58*3%</f>
        <v>42.9</v>
      </c>
      <c r="F62" s="31">
        <f t="shared" si="0"/>
        <v>42.9</v>
      </c>
    </row>
    <row r="63" spans="1:6" x14ac:dyDescent="0.25">
      <c r="A63" s="34"/>
      <c r="B63" s="23" t="s">
        <v>85</v>
      </c>
      <c r="C63" s="27"/>
      <c r="D63" s="27"/>
      <c r="E63" s="27"/>
      <c r="F63" s="25"/>
    </row>
    <row r="64" spans="1:6" x14ac:dyDescent="0.25">
      <c r="A64" s="35"/>
      <c r="B64" s="28" t="s">
        <v>86</v>
      </c>
      <c r="C64" s="27">
        <v>1</v>
      </c>
      <c r="D64" s="30" t="s">
        <v>71</v>
      </c>
      <c r="E64" s="30">
        <v>426.29</v>
      </c>
      <c r="F64" s="31">
        <f>E64</f>
        <v>426.29</v>
      </c>
    </row>
    <row r="65" spans="1:10" x14ac:dyDescent="0.25">
      <c r="A65" s="35"/>
      <c r="B65" s="28" t="s">
        <v>87</v>
      </c>
      <c r="C65" s="27"/>
      <c r="D65" s="27"/>
      <c r="E65" s="25" t="s">
        <v>88</v>
      </c>
      <c r="F65" s="25">
        <f>SUM(F57:F64)</f>
        <v>2318.3000000000002</v>
      </c>
    </row>
    <row r="67" spans="1:10" ht="24.75" x14ac:dyDescent="0.25">
      <c r="A67" s="33"/>
      <c r="B67" s="19" t="s">
        <v>89</v>
      </c>
      <c r="C67" s="20">
        <v>1</v>
      </c>
      <c r="D67" s="20" t="s">
        <v>71</v>
      </c>
      <c r="E67" s="21"/>
      <c r="F67" s="22"/>
    </row>
    <row r="68" spans="1:10" x14ac:dyDescent="0.25">
      <c r="A68" s="34"/>
      <c r="B68" s="23" t="s">
        <v>90</v>
      </c>
      <c r="C68" s="24"/>
      <c r="D68" s="24"/>
      <c r="E68" s="24"/>
      <c r="F68" s="25"/>
      <c r="G68" s="25"/>
      <c r="H68" s="25"/>
      <c r="I68" s="25"/>
      <c r="J68" s="26"/>
    </row>
    <row r="69" spans="1:10" x14ac:dyDescent="0.25">
      <c r="A69" s="34"/>
      <c r="B69" s="23" t="s">
        <v>73</v>
      </c>
      <c r="C69" s="27">
        <v>1</v>
      </c>
      <c r="D69" s="27" t="s">
        <v>71</v>
      </c>
      <c r="E69" s="27"/>
      <c r="F69" s="25"/>
      <c r="G69" s="25"/>
      <c r="H69" s="25"/>
      <c r="I69" s="25"/>
      <c r="J69" s="26"/>
    </row>
    <row r="70" spans="1:10" x14ac:dyDescent="0.25">
      <c r="A70" s="34"/>
      <c r="B70" s="23" t="s">
        <v>74</v>
      </c>
      <c r="C70" s="27"/>
      <c r="D70" s="27"/>
      <c r="E70" s="27"/>
      <c r="F70" s="25"/>
      <c r="G70" s="25"/>
      <c r="H70" s="25"/>
      <c r="I70" s="25"/>
      <c r="J70" s="26"/>
    </row>
    <row r="71" spans="1:10" x14ac:dyDescent="0.25">
      <c r="A71" s="34"/>
      <c r="B71" s="28" t="s">
        <v>91</v>
      </c>
      <c r="C71" s="27">
        <v>0.05</v>
      </c>
      <c r="D71" s="30" t="s">
        <v>79</v>
      </c>
      <c r="E71" s="30">
        <v>440</v>
      </c>
      <c r="F71" s="31">
        <f>ROUND((C71*(E71)),2)</f>
        <v>22</v>
      </c>
      <c r="G71" s="31"/>
      <c r="H71" s="31"/>
      <c r="I71" s="31"/>
      <c r="J71" s="26"/>
    </row>
    <row r="72" spans="1:10" x14ac:dyDescent="0.25">
      <c r="A72" s="35"/>
      <c r="B72" s="28" t="s">
        <v>77</v>
      </c>
      <c r="C72" s="27">
        <v>1.1000000000000001</v>
      </c>
      <c r="D72" s="30" t="s">
        <v>71</v>
      </c>
      <c r="E72" s="30">
        <v>1300</v>
      </c>
      <c r="F72" s="31">
        <f t="shared" ref="F72:F78" si="1">ROUND((C72*(E72)),2)</f>
        <v>1430</v>
      </c>
      <c r="G72" s="31"/>
      <c r="H72" s="31"/>
      <c r="I72" s="31"/>
      <c r="J72" s="26"/>
    </row>
    <row r="73" spans="1:10" x14ac:dyDescent="0.25">
      <c r="A73" s="35"/>
      <c r="B73" s="28" t="s">
        <v>92</v>
      </c>
      <c r="C73" s="27">
        <v>0.14000000000000001</v>
      </c>
      <c r="D73" s="30" t="s">
        <v>79</v>
      </c>
      <c r="E73" s="30">
        <v>258</v>
      </c>
      <c r="F73" s="31">
        <f t="shared" si="1"/>
        <v>36.119999999999997</v>
      </c>
      <c r="G73" s="31"/>
      <c r="H73" s="31"/>
      <c r="I73" s="31"/>
      <c r="J73" s="26"/>
    </row>
    <row r="74" spans="1:10" x14ac:dyDescent="0.25">
      <c r="A74" s="35"/>
      <c r="B74" s="28" t="s">
        <v>78</v>
      </c>
      <c r="C74" s="29">
        <v>4.4999999999999998E-2</v>
      </c>
      <c r="D74" s="30" t="s">
        <v>79</v>
      </c>
      <c r="E74" s="30">
        <v>1200</v>
      </c>
      <c r="F74" s="31">
        <f t="shared" si="1"/>
        <v>54</v>
      </c>
      <c r="G74" s="31"/>
      <c r="H74" s="31"/>
      <c r="I74" s="31"/>
      <c r="J74" s="26"/>
    </row>
    <row r="75" spans="1:10" x14ac:dyDescent="0.25">
      <c r="A75" s="35"/>
      <c r="B75" s="28" t="s">
        <v>80</v>
      </c>
      <c r="C75" s="27">
        <v>0.05</v>
      </c>
      <c r="D75" s="30" t="s">
        <v>81</v>
      </c>
      <c r="E75" s="30">
        <v>150</v>
      </c>
      <c r="F75" s="31">
        <f t="shared" si="1"/>
        <v>7.5</v>
      </c>
      <c r="G75" s="31"/>
      <c r="H75" s="31"/>
      <c r="I75" s="31"/>
      <c r="J75" s="26"/>
    </row>
    <row r="76" spans="1:10" x14ac:dyDescent="0.25">
      <c r="A76" s="35"/>
      <c r="B76" s="28" t="s">
        <v>82</v>
      </c>
      <c r="C76" s="27">
        <v>4.5</v>
      </c>
      <c r="D76" s="30" t="s">
        <v>83</v>
      </c>
      <c r="E76" s="30">
        <v>35</v>
      </c>
      <c r="F76" s="31">
        <f t="shared" si="1"/>
        <v>157.5</v>
      </c>
      <c r="G76" s="31"/>
      <c r="H76" s="31"/>
      <c r="I76" s="31"/>
      <c r="J76" s="26"/>
    </row>
    <row r="77" spans="1:10" x14ac:dyDescent="0.25">
      <c r="A77" s="35"/>
      <c r="B77" s="28" t="s">
        <v>93</v>
      </c>
      <c r="C77" s="27">
        <v>0.05</v>
      </c>
      <c r="D77" s="30" t="s">
        <v>79</v>
      </c>
      <c r="E77" s="30">
        <v>320</v>
      </c>
      <c r="F77" s="31">
        <f t="shared" si="1"/>
        <v>16</v>
      </c>
      <c r="G77" s="31"/>
      <c r="H77" s="31"/>
      <c r="I77" s="31"/>
      <c r="J77" s="26"/>
    </row>
    <row r="78" spans="1:10" x14ac:dyDescent="0.25">
      <c r="A78" s="35"/>
      <c r="B78" s="28" t="s">
        <v>84</v>
      </c>
      <c r="C78" s="27">
        <v>1</v>
      </c>
      <c r="D78" s="30" t="s">
        <v>10</v>
      </c>
      <c r="E78" s="30">
        <f>F72*3%</f>
        <v>42.9</v>
      </c>
      <c r="F78" s="31">
        <f t="shared" si="1"/>
        <v>42.9</v>
      </c>
      <c r="G78" s="31"/>
      <c r="H78" s="31"/>
      <c r="I78" s="31"/>
      <c r="J78" s="26"/>
    </row>
    <row r="79" spans="1:10" x14ac:dyDescent="0.25">
      <c r="A79" s="34"/>
      <c r="B79" s="23" t="s">
        <v>85</v>
      </c>
      <c r="C79" s="27"/>
      <c r="D79" s="27"/>
      <c r="E79" s="27"/>
      <c r="F79" s="25"/>
      <c r="G79" s="25"/>
      <c r="H79" s="25"/>
      <c r="I79" s="25"/>
      <c r="J79" s="26"/>
    </row>
    <row r="80" spans="1:10" x14ac:dyDescent="0.25">
      <c r="A80" s="35"/>
      <c r="B80" s="28" t="s">
        <v>86</v>
      </c>
      <c r="C80" s="27">
        <v>1</v>
      </c>
      <c r="D80" s="30" t="s">
        <v>71</v>
      </c>
      <c r="E80" s="30">
        <v>426.29</v>
      </c>
      <c r="F80" s="31">
        <f>E80</f>
        <v>426.29</v>
      </c>
      <c r="G80" s="31"/>
      <c r="H80" s="31"/>
      <c r="I80" s="31"/>
      <c r="J80" s="32"/>
    </row>
    <row r="81" spans="1:9" x14ac:dyDescent="0.25">
      <c r="A81" s="35"/>
      <c r="B81" s="28" t="s">
        <v>87</v>
      </c>
      <c r="C81" s="27"/>
      <c r="D81" s="27"/>
      <c r="E81" s="25" t="s">
        <v>88</v>
      </c>
      <c r="F81" s="25">
        <f>SUM(F71:F80)</f>
        <v>2192.31</v>
      </c>
      <c r="G81" s="31"/>
      <c r="H81" s="31"/>
      <c r="I81" s="31"/>
    </row>
    <row r="83" spans="1:9" ht="16.5" customHeight="1" x14ac:dyDescent="0.25">
      <c r="A83" s="39"/>
      <c r="B83" s="40" t="s">
        <v>94</v>
      </c>
      <c r="C83" s="41"/>
      <c r="D83" s="41"/>
      <c r="E83" s="42" t="s">
        <v>46</v>
      </c>
      <c r="F83" s="43">
        <v>1</v>
      </c>
    </row>
    <row r="84" spans="1:9" s="63" customFormat="1" x14ac:dyDescent="0.25">
      <c r="A84" s="44" t="s">
        <v>47</v>
      </c>
      <c r="B84" s="44" t="s">
        <v>48</v>
      </c>
      <c r="C84" s="44" t="s">
        <v>49</v>
      </c>
      <c r="D84" s="44" t="s">
        <v>50</v>
      </c>
      <c r="E84" s="44" t="s">
        <v>51</v>
      </c>
      <c r="F84" s="44" t="s">
        <v>52</v>
      </c>
    </row>
    <row r="85" spans="1:9" ht="6.75" customHeight="1" x14ac:dyDescent="0.25"/>
    <row r="86" spans="1:9" x14ac:dyDescent="0.25">
      <c r="A86" s="45"/>
      <c r="B86" s="46" t="s">
        <v>95</v>
      </c>
      <c r="C86" s="47">
        <v>1.42</v>
      </c>
      <c r="D86" s="48" t="s">
        <v>96</v>
      </c>
      <c r="E86" s="49">
        <v>395.3</v>
      </c>
      <c r="F86" s="50">
        <f>C86*E86</f>
        <v>561.32600000000002</v>
      </c>
    </row>
    <row r="87" spans="1:9" x14ac:dyDescent="0.25">
      <c r="A87" s="45"/>
      <c r="B87" s="46" t="s">
        <v>97</v>
      </c>
      <c r="C87" s="47">
        <v>0.4</v>
      </c>
      <c r="D87" s="48" t="s">
        <v>2</v>
      </c>
      <c r="E87" s="49">
        <v>123.9</v>
      </c>
      <c r="F87" s="50">
        <f t="shared" ref="F87:F97" si="2">C87*E87</f>
        <v>49.56</v>
      </c>
    </row>
    <row r="88" spans="1:9" x14ac:dyDescent="0.25">
      <c r="A88" s="45"/>
      <c r="B88" s="46" t="s">
        <v>98</v>
      </c>
      <c r="C88" s="47">
        <v>0.26</v>
      </c>
      <c r="D88" s="48" t="s">
        <v>2</v>
      </c>
      <c r="E88" s="49">
        <v>291.45999999999998</v>
      </c>
      <c r="F88" s="50">
        <f t="shared" si="2"/>
        <v>75.779600000000002</v>
      </c>
    </row>
    <row r="89" spans="1:9" ht="15" customHeight="1" x14ac:dyDescent="0.25">
      <c r="A89" s="45"/>
      <c r="B89" s="46" t="s">
        <v>99</v>
      </c>
      <c r="C89" s="47">
        <v>1.42</v>
      </c>
      <c r="D89" s="48" t="s">
        <v>2</v>
      </c>
      <c r="E89" s="49">
        <f>26.75*1.18</f>
        <v>31.564999999999998</v>
      </c>
      <c r="F89" s="50">
        <f t="shared" si="2"/>
        <v>44.822299999999991</v>
      </c>
    </row>
    <row r="90" spans="1:9" x14ac:dyDescent="0.25">
      <c r="A90" s="45"/>
      <c r="B90" s="46" t="s">
        <v>100</v>
      </c>
      <c r="C90" s="47">
        <v>1.42</v>
      </c>
      <c r="D90" s="48" t="s">
        <v>2</v>
      </c>
      <c r="E90" s="49">
        <v>92.04</v>
      </c>
      <c r="F90" s="50">
        <f t="shared" si="2"/>
        <v>130.6968</v>
      </c>
    </row>
    <row r="91" spans="1:9" x14ac:dyDescent="0.25">
      <c r="A91" s="45"/>
      <c r="B91" s="46" t="s">
        <v>101</v>
      </c>
      <c r="C91" s="47">
        <v>0.7</v>
      </c>
      <c r="D91" s="48" t="s">
        <v>2</v>
      </c>
      <c r="E91" s="49">
        <f>7.87*1.18</f>
        <v>9.2866</v>
      </c>
      <c r="F91" s="50">
        <f t="shared" si="2"/>
        <v>6.5006199999999996</v>
      </c>
    </row>
    <row r="92" spans="1:9" x14ac:dyDescent="0.25">
      <c r="A92" s="45"/>
      <c r="B92" s="46" t="s">
        <v>102</v>
      </c>
      <c r="C92" s="47">
        <v>0.72</v>
      </c>
      <c r="D92" s="48" t="s">
        <v>2</v>
      </c>
      <c r="E92" s="49">
        <f>3.45*1.18</f>
        <v>4.0709999999999997</v>
      </c>
      <c r="F92" s="50">
        <f t="shared" si="2"/>
        <v>2.9311199999999995</v>
      </c>
    </row>
    <row r="93" spans="1:9" x14ac:dyDescent="0.25">
      <c r="A93" s="45"/>
      <c r="B93" s="46" t="s">
        <v>103</v>
      </c>
      <c r="C93" s="47">
        <v>0.06</v>
      </c>
      <c r="D93" s="48" t="s">
        <v>2</v>
      </c>
      <c r="E93" s="49">
        <f>62.93*1.18</f>
        <v>74.25739999999999</v>
      </c>
      <c r="F93" s="50">
        <f t="shared" si="2"/>
        <v>4.4554439999999991</v>
      </c>
    </row>
    <row r="94" spans="1:9" x14ac:dyDescent="0.25">
      <c r="A94" s="45"/>
      <c r="B94" s="46" t="s">
        <v>104</v>
      </c>
      <c r="C94" s="47">
        <v>0.12</v>
      </c>
      <c r="D94" s="48" t="s">
        <v>2</v>
      </c>
      <c r="E94" s="49">
        <f>60.31*1.18</f>
        <v>71.165800000000004</v>
      </c>
      <c r="F94" s="50">
        <f>C94*E94</f>
        <v>8.5398960000000006</v>
      </c>
    </row>
    <row r="95" spans="1:9" x14ac:dyDescent="0.25">
      <c r="A95" s="45"/>
      <c r="B95" s="46" t="s">
        <v>105</v>
      </c>
      <c r="C95" s="47">
        <v>1E-3</v>
      </c>
      <c r="D95" s="48" t="s">
        <v>106</v>
      </c>
      <c r="E95" s="49">
        <v>1500</v>
      </c>
      <c r="F95" s="50">
        <f>C95*E95</f>
        <v>1.5</v>
      </c>
    </row>
    <row r="96" spans="1:9" x14ac:dyDescent="0.25">
      <c r="A96" s="45"/>
      <c r="B96" s="46" t="s">
        <v>85</v>
      </c>
      <c r="C96" s="47">
        <v>1</v>
      </c>
      <c r="D96" s="48" t="s">
        <v>96</v>
      </c>
      <c r="E96" s="49">
        <v>450</v>
      </c>
      <c r="F96" s="50">
        <f>C96*E96</f>
        <v>450</v>
      </c>
    </row>
    <row r="97" spans="1:6" x14ac:dyDescent="0.25">
      <c r="A97" s="45"/>
      <c r="B97" s="46" t="s">
        <v>56</v>
      </c>
      <c r="C97" s="47">
        <v>1.4999999999999999E-2</v>
      </c>
      <c r="D97" s="48" t="s">
        <v>10</v>
      </c>
      <c r="E97" s="49">
        <f>SUM(F85:F96)</f>
        <v>1336.11178</v>
      </c>
      <c r="F97" s="50">
        <f t="shared" si="2"/>
        <v>20.0416767</v>
      </c>
    </row>
    <row r="98" spans="1:6" ht="15" customHeight="1" x14ac:dyDescent="0.25">
      <c r="A98" s="51"/>
      <c r="B98" s="52"/>
      <c r="C98" s="53"/>
      <c r="D98" s="54"/>
      <c r="E98" s="55"/>
      <c r="F98" s="56"/>
    </row>
    <row r="99" spans="1:6" ht="15.75" x14ac:dyDescent="0.25">
      <c r="A99" s="167"/>
      <c r="B99" s="167"/>
      <c r="C99" s="167"/>
      <c r="D99" s="57" t="s">
        <v>69</v>
      </c>
      <c r="E99" s="58"/>
      <c r="F99" s="59">
        <f>SUM(F86:F98)/F83</f>
        <v>1356.1534566999999</v>
      </c>
    </row>
    <row r="101" spans="1:6" ht="39" customHeight="1" x14ac:dyDescent="0.25">
      <c r="A101" s="39"/>
      <c r="B101" s="40" t="s">
        <v>4</v>
      </c>
      <c r="C101" s="41"/>
      <c r="D101" s="41"/>
      <c r="E101" s="42" t="s">
        <v>46</v>
      </c>
      <c r="F101" s="43">
        <v>1</v>
      </c>
    </row>
    <row r="102" spans="1:6" s="63" customFormat="1" x14ac:dyDescent="0.25">
      <c r="A102" s="44" t="s">
        <v>47</v>
      </c>
      <c r="B102" s="44" t="s">
        <v>48</v>
      </c>
      <c r="C102" s="44" t="s">
        <v>49</v>
      </c>
      <c r="D102" s="44" t="s">
        <v>50</v>
      </c>
      <c r="E102" s="44" t="s">
        <v>51</v>
      </c>
      <c r="F102" s="44" t="s">
        <v>52</v>
      </c>
    </row>
    <row r="103" spans="1:6" ht="6.75" customHeight="1" x14ac:dyDescent="0.25"/>
    <row r="104" spans="1:6" ht="45" x14ac:dyDescent="0.25">
      <c r="A104" s="45"/>
      <c r="B104" s="64" t="s">
        <v>107</v>
      </c>
      <c r="C104" s="47">
        <v>1</v>
      </c>
      <c r="D104" s="48" t="s">
        <v>2</v>
      </c>
      <c r="E104" s="49">
        <v>2750</v>
      </c>
      <c r="F104" s="50">
        <f>C104*E104</f>
        <v>2750</v>
      </c>
    </row>
    <row r="105" spans="1:6" x14ac:dyDescent="0.25">
      <c r="A105" s="45"/>
      <c r="B105" s="46" t="s">
        <v>108</v>
      </c>
      <c r="C105" s="47">
        <v>1</v>
      </c>
      <c r="D105" s="48" t="s">
        <v>2</v>
      </c>
      <c r="E105" s="49">
        <v>250</v>
      </c>
      <c r="F105" s="50">
        <f>C105*E105</f>
        <v>250</v>
      </c>
    </row>
    <row r="106" spans="1:6" x14ac:dyDescent="0.25">
      <c r="A106" s="45"/>
      <c r="B106" s="46" t="s">
        <v>56</v>
      </c>
      <c r="C106" s="47">
        <v>1.4999999999999999E-2</v>
      </c>
      <c r="D106" s="48" t="s">
        <v>10</v>
      </c>
      <c r="E106" s="49">
        <f>SUM(F103:F105)</f>
        <v>3000</v>
      </c>
      <c r="F106" s="50">
        <f>C106*E106</f>
        <v>45</v>
      </c>
    </row>
    <row r="107" spans="1:6" x14ac:dyDescent="0.25">
      <c r="A107" s="51"/>
      <c r="B107" s="52"/>
      <c r="C107" s="53"/>
      <c r="D107" s="54"/>
      <c r="E107" s="55"/>
      <c r="F107" s="56"/>
    </row>
    <row r="108" spans="1:6" ht="15.75" x14ac:dyDescent="0.25">
      <c r="A108" s="167"/>
      <c r="B108" s="167"/>
      <c r="C108" s="167"/>
      <c r="D108" s="57" t="s">
        <v>57</v>
      </c>
      <c r="E108" s="58"/>
      <c r="F108" s="59">
        <f>SUM(F104:F107)/F101</f>
        <v>3045</v>
      </c>
    </row>
    <row r="110" spans="1:6" ht="33" customHeight="1" x14ac:dyDescent="0.25">
      <c r="A110" s="39"/>
      <c r="B110" s="40" t="s">
        <v>109</v>
      </c>
      <c r="C110" s="41"/>
      <c r="D110" s="41"/>
      <c r="E110" s="42" t="s">
        <v>46</v>
      </c>
      <c r="F110" s="43">
        <v>1</v>
      </c>
    </row>
    <row r="111" spans="1:6" s="63" customFormat="1" x14ac:dyDescent="0.25">
      <c r="A111" s="44" t="s">
        <v>47</v>
      </c>
      <c r="B111" s="44" t="s">
        <v>48</v>
      </c>
      <c r="C111" s="44" t="s">
        <v>49</v>
      </c>
      <c r="D111" s="44" t="s">
        <v>50</v>
      </c>
      <c r="E111" s="44" t="s">
        <v>51</v>
      </c>
      <c r="F111" s="44" t="s">
        <v>52</v>
      </c>
    </row>
    <row r="112" spans="1:6" ht="6.75" customHeight="1" x14ac:dyDescent="0.25"/>
    <row r="113" spans="1:6" x14ac:dyDescent="0.25">
      <c r="A113" s="45"/>
      <c r="B113" s="64" t="s">
        <v>110</v>
      </c>
      <c r="C113" s="47">
        <v>1</v>
      </c>
      <c r="D113" s="48" t="s">
        <v>2</v>
      </c>
      <c r="E113" s="49">
        <v>6066.26</v>
      </c>
      <c r="F113" s="50">
        <f>C113*E113</f>
        <v>6066.26</v>
      </c>
    </row>
    <row r="114" spans="1:6" x14ac:dyDescent="0.25">
      <c r="A114" s="45"/>
      <c r="B114" s="64" t="s">
        <v>111</v>
      </c>
      <c r="C114" s="47">
        <v>1</v>
      </c>
      <c r="D114" s="48" t="s">
        <v>2</v>
      </c>
      <c r="E114" s="49">
        <v>55</v>
      </c>
      <c r="F114" s="50">
        <f t="shared" ref="F114:F122" si="3">C114*E114</f>
        <v>55</v>
      </c>
    </row>
    <row r="115" spans="1:6" x14ac:dyDescent="0.25">
      <c r="A115" s="45"/>
      <c r="B115" s="64" t="s">
        <v>112</v>
      </c>
      <c r="C115" s="47">
        <v>1</v>
      </c>
      <c r="D115" s="48" t="s">
        <v>2</v>
      </c>
      <c r="E115" s="49">
        <v>23</v>
      </c>
      <c r="F115" s="50">
        <f t="shared" si="3"/>
        <v>23</v>
      </c>
    </row>
    <row r="116" spans="1:6" x14ac:dyDescent="0.25">
      <c r="A116" s="45"/>
      <c r="B116" s="64" t="s">
        <v>113</v>
      </c>
      <c r="C116" s="47">
        <v>1</v>
      </c>
      <c r="D116" s="48" t="s">
        <v>2</v>
      </c>
      <c r="E116" s="49">
        <v>185</v>
      </c>
      <c r="F116" s="50">
        <f t="shared" si="3"/>
        <v>185</v>
      </c>
    </row>
    <row r="117" spans="1:6" x14ac:dyDescent="0.25">
      <c r="A117" s="45"/>
      <c r="B117" s="64" t="s">
        <v>114</v>
      </c>
      <c r="C117" s="47">
        <v>1</v>
      </c>
      <c r="D117" s="48" t="s">
        <v>2</v>
      </c>
      <c r="E117" s="49">
        <v>280</v>
      </c>
      <c r="F117" s="50">
        <f t="shared" si="3"/>
        <v>280</v>
      </c>
    </row>
    <row r="118" spans="1:6" x14ac:dyDescent="0.25">
      <c r="A118" s="45"/>
      <c r="B118" s="64" t="s">
        <v>115</v>
      </c>
      <c r="C118" s="47">
        <v>1</v>
      </c>
      <c r="D118" s="48" t="s">
        <v>2</v>
      </c>
      <c r="E118" s="49">
        <v>85</v>
      </c>
      <c r="F118" s="50">
        <f t="shared" si="3"/>
        <v>85</v>
      </c>
    </row>
    <row r="119" spans="1:6" x14ac:dyDescent="0.25">
      <c r="A119" s="45"/>
      <c r="B119" s="64" t="s">
        <v>116</v>
      </c>
      <c r="C119" s="47">
        <v>1</v>
      </c>
      <c r="D119" s="48" t="s">
        <v>2</v>
      </c>
      <c r="E119" s="49">
        <v>80</v>
      </c>
      <c r="F119" s="50">
        <f t="shared" si="3"/>
        <v>80</v>
      </c>
    </row>
    <row r="120" spans="1:6" x14ac:dyDescent="0.25">
      <c r="A120" s="45"/>
      <c r="B120" s="64" t="s">
        <v>117</v>
      </c>
      <c r="C120" s="47">
        <v>1</v>
      </c>
      <c r="D120" s="48" t="s">
        <v>2</v>
      </c>
      <c r="E120" s="49">
        <v>70</v>
      </c>
      <c r="F120" s="50">
        <f t="shared" si="3"/>
        <v>70</v>
      </c>
    </row>
    <row r="121" spans="1:6" x14ac:dyDescent="0.25">
      <c r="A121" s="45"/>
      <c r="B121" s="64" t="s">
        <v>118</v>
      </c>
      <c r="C121" s="47">
        <v>1</v>
      </c>
      <c r="D121" s="48" t="s">
        <v>2</v>
      </c>
      <c r="E121" s="49">
        <v>48.25</v>
      </c>
      <c r="F121" s="50">
        <f t="shared" si="3"/>
        <v>48.25</v>
      </c>
    </row>
    <row r="122" spans="1:6" x14ac:dyDescent="0.25">
      <c r="A122" s="45"/>
      <c r="B122" s="64" t="s">
        <v>119</v>
      </c>
      <c r="C122" s="47">
        <v>1</v>
      </c>
      <c r="D122" s="48" t="s">
        <v>2</v>
      </c>
      <c r="E122" s="49">
        <v>5.5</v>
      </c>
      <c r="F122" s="50">
        <f t="shared" si="3"/>
        <v>5.5</v>
      </c>
    </row>
    <row r="123" spans="1:6" x14ac:dyDescent="0.25">
      <c r="A123" s="45"/>
      <c r="B123" s="46" t="s">
        <v>108</v>
      </c>
      <c r="C123" s="47">
        <v>1</v>
      </c>
      <c r="D123" s="48" t="s">
        <v>2</v>
      </c>
      <c r="E123" s="49">
        <v>1315</v>
      </c>
      <c r="F123" s="50">
        <f>C123*E123</f>
        <v>1315</v>
      </c>
    </row>
    <row r="124" spans="1:6" x14ac:dyDescent="0.25">
      <c r="A124" s="45"/>
      <c r="B124" s="46" t="s">
        <v>56</v>
      </c>
      <c r="C124" s="47">
        <v>1.4999999999999999E-2</v>
      </c>
      <c r="D124" s="48" t="s">
        <v>10</v>
      </c>
      <c r="E124" s="49">
        <f>SUM(F112:F123)</f>
        <v>8213.01</v>
      </c>
      <c r="F124" s="50">
        <f>C124*E124</f>
        <v>123.19515</v>
      </c>
    </row>
    <row r="125" spans="1:6" x14ac:dyDescent="0.25">
      <c r="A125" s="51"/>
      <c r="B125" s="52"/>
      <c r="C125" s="53"/>
      <c r="D125" s="54"/>
      <c r="E125" s="55"/>
      <c r="F125" s="56"/>
    </row>
    <row r="126" spans="1:6" ht="15.75" x14ac:dyDescent="0.25">
      <c r="A126" s="167"/>
      <c r="B126" s="167"/>
      <c r="C126" s="167"/>
      <c r="D126" s="57" t="s">
        <v>57</v>
      </c>
      <c r="E126" s="58"/>
      <c r="F126" s="59">
        <f>SUM(F113:F125)/F110</f>
        <v>8336.2051499999998</v>
      </c>
    </row>
    <row r="128" spans="1:6" ht="33" customHeight="1" x14ac:dyDescent="0.25">
      <c r="A128" s="39"/>
      <c r="B128" s="40" t="s">
        <v>120</v>
      </c>
      <c r="C128" s="41"/>
      <c r="D128" s="41"/>
      <c r="E128" s="42" t="s">
        <v>46</v>
      </c>
      <c r="F128" s="43">
        <v>1</v>
      </c>
    </row>
    <row r="129" spans="1:6" s="63" customFormat="1" x14ac:dyDescent="0.25">
      <c r="A129" s="44" t="s">
        <v>47</v>
      </c>
      <c r="B129" s="44" t="s">
        <v>48</v>
      </c>
      <c r="C129" s="44" t="s">
        <v>49</v>
      </c>
      <c r="D129" s="44" t="s">
        <v>50</v>
      </c>
      <c r="E129" s="44" t="s">
        <v>51</v>
      </c>
      <c r="F129" s="44" t="s">
        <v>52</v>
      </c>
    </row>
    <row r="130" spans="1:6" ht="6.75" customHeight="1" x14ac:dyDescent="0.25"/>
    <row r="131" spans="1:6" x14ac:dyDescent="0.25">
      <c r="A131" s="45"/>
      <c r="B131" s="64" t="s">
        <v>121</v>
      </c>
      <c r="C131" s="47">
        <v>1</v>
      </c>
      <c r="D131" s="48" t="s">
        <v>2</v>
      </c>
      <c r="E131" s="49">
        <v>3500</v>
      </c>
      <c r="F131" s="50">
        <f t="shared" ref="F131:F139" si="4">C131*E131</f>
        <v>3500</v>
      </c>
    </row>
    <row r="132" spans="1:6" x14ac:dyDescent="0.25">
      <c r="A132" s="45"/>
      <c r="B132" s="64" t="s">
        <v>122</v>
      </c>
      <c r="C132" s="47">
        <v>1</v>
      </c>
      <c r="D132" s="48" t="s">
        <v>2</v>
      </c>
      <c r="E132" s="49">
        <v>700</v>
      </c>
      <c r="F132" s="50">
        <f t="shared" si="4"/>
        <v>700</v>
      </c>
    </row>
    <row r="133" spans="1:6" x14ac:dyDescent="0.25">
      <c r="A133" s="45"/>
      <c r="B133" s="64" t="s">
        <v>123</v>
      </c>
      <c r="C133" s="47">
        <v>1</v>
      </c>
      <c r="D133" s="48" t="s">
        <v>2</v>
      </c>
      <c r="E133" s="49">
        <v>23.9</v>
      </c>
      <c r="F133" s="50">
        <f t="shared" si="4"/>
        <v>23.9</v>
      </c>
    </row>
    <row r="134" spans="1:6" x14ac:dyDescent="0.25">
      <c r="A134" s="45"/>
      <c r="B134" s="64" t="s">
        <v>124</v>
      </c>
      <c r="C134" s="47">
        <v>1</v>
      </c>
      <c r="D134" s="48" t="s">
        <v>2</v>
      </c>
      <c r="E134" s="49">
        <v>119.5</v>
      </c>
      <c r="F134" s="50">
        <f t="shared" si="4"/>
        <v>119.5</v>
      </c>
    </row>
    <row r="135" spans="1:6" x14ac:dyDescent="0.25">
      <c r="A135" s="45"/>
      <c r="B135" s="64" t="s">
        <v>125</v>
      </c>
      <c r="C135" s="47">
        <v>1</v>
      </c>
      <c r="D135" s="48" t="s">
        <v>2</v>
      </c>
      <c r="E135" s="49">
        <v>29.5</v>
      </c>
      <c r="F135" s="50">
        <f t="shared" si="4"/>
        <v>29.5</v>
      </c>
    </row>
    <row r="136" spans="1:6" x14ac:dyDescent="0.25">
      <c r="A136" s="45"/>
      <c r="B136" s="64" t="s">
        <v>118</v>
      </c>
      <c r="C136" s="47">
        <v>0.05</v>
      </c>
      <c r="D136" s="48" t="s">
        <v>2</v>
      </c>
      <c r="E136" s="49">
        <v>965</v>
      </c>
      <c r="F136" s="50">
        <f t="shared" si="4"/>
        <v>48.25</v>
      </c>
    </row>
    <row r="137" spans="1:6" x14ac:dyDescent="0.25">
      <c r="A137" s="45"/>
      <c r="B137" s="64" t="s">
        <v>119</v>
      </c>
      <c r="C137" s="47">
        <v>0.25</v>
      </c>
      <c r="D137" s="48" t="s">
        <v>2</v>
      </c>
      <c r="E137" s="49">
        <v>22</v>
      </c>
      <c r="F137" s="50">
        <f t="shared" si="4"/>
        <v>5.5</v>
      </c>
    </row>
    <row r="138" spans="1:6" x14ac:dyDescent="0.25">
      <c r="A138" s="45"/>
      <c r="B138" s="46" t="s">
        <v>108</v>
      </c>
      <c r="C138" s="47">
        <v>1</v>
      </c>
      <c r="D138" s="48" t="s">
        <v>2</v>
      </c>
      <c r="E138" s="49">
        <v>1000</v>
      </c>
      <c r="F138" s="50">
        <f t="shared" si="4"/>
        <v>1000</v>
      </c>
    </row>
    <row r="139" spans="1:6" x14ac:dyDescent="0.25">
      <c r="A139" s="45"/>
      <c r="B139" s="46" t="s">
        <v>56</v>
      </c>
      <c r="C139" s="47">
        <v>1.4999999999999999E-2</v>
      </c>
      <c r="D139" s="48" t="s">
        <v>10</v>
      </c>
      <c r="E139" s="49">
        <f>SUM(F130:F138)</f>
        <v>5426.65</v>
      </c>
      <c r="F139" s="50">
        <f t="shared" si="4"/>
        <v>81.399749999999997</v>
      </c>
    </row>
    <row r="140" spans="1:6" x14ac:dyDescent="0.25">
      <c r="A140" s="51"/>
      <c r="B140" s="52"/>
      <c r="C140" s="53"/>
      <c r="D140" s="54"/>
      <c r="E140" s="55"/>
      <c r="F140" s="56"/>
    </row>
    <row r="141" spans="1:6" ht="15.75" x14ac:dyDescent="0.25">
      <c r="A141" s="167"/>
      <c r="B141" s="167"/>
      <c r="C141" s="167"/>
      <c r="D141" s="57" t="s">
        <v>57</v>
      </c>
      <c r="E141" s="58"/>
      <c r="F141" s="59">
        <f>SUM(F131:F140)/F128</f>
        <v>5508.0497499999992</v>
      </c>
    </row>
    <row r="143" spans="1:6" ht="42" customHeight="1" x14ac:dyDescent="0.25">
      <c r="A143" s="39"/>
      <c r="B143" s="40" t="s">
        <v>126</v>
      </c>
      <c r="C143" s="41"/>
      <c r="D143" s="41"/>
      <c r="E143" s="42" t="s">
        <v>46</v>
      </c>
      <c r="F143" s="43">
        <v>1</v>
      </c>
    </row>
    <row r="144" spans="1:6" s="63" customFormat="1" x14ac:dyDescent="0.25">
      <c r="A144" s="44" t="s">
        <v>47</v>
      </c>
      <c r="B144" s="44" t="s">
        <v>48</v>
      </c>
      <c r="C144" s="44" t="s">
        <v>49</v>
      </c>
      <c r="D144" s="44" t="s">
        <v>50</v>
      </c>
      <c r="E144" s="44" t="s">
        <v>51</v>
      </c>
      <c r="F144" s="44" t="s">
        <v>52</v>
      </c>
    </row>
    <row r="145" spans="1:6" ht="6.75" customHeight="1" x14ac:dyDescent="0.25"/>
    <row r="146" spans="1:6" x14ac:dyDescent="0.25">
      <c r="A146" s="45"/>
      <c r="B146" s="64" t="s">
        <v>111</v>
      </c>
      <c r="C146" s="47">
        <v>2</v>
      </c>
      <c r="D146" s="48" t="s">
        <v>2</v>
      </c>
      <c r="E146" s="49">
        <v>55</v>
      </c>
      <c r="F146" s="50">
        <f t="shared" ref="F146:F153" si="5">C146*E146</f>
        <v>110</v>
      </c>
    </row>
    <row r="147" spans="1:6" x14ac:dyDescent="0.25">
      <c r="A147" s="45"/>
      <c r="B147" s="64" t="s">
        <v>112</v>
      </c>
      <c r="C147" s="47">
        <v>2</v>
      </c>
      <c r="D147" s="48" t="s">
        <v>2</v>
      </c>
      <c r="E147" s="49">
        <v>23</v>
      </c>
      <c r="F147" s="50">
        <f t="shared" si="5"/>
        <v>46</v>
      </c>
    </row>
    <row r="148" spans="1:6" x14ac:dyDescent="0.25">
      <c r="A148" s="45"/>
      <c r="B148" s="64" t="s">
        <v>113</v>
      </c>
      <c r="C148" s="47">
        <v>2</v>
      </c>
      <c r="D148" s="48" t="s">
        <v>2</v>
      </c>
      <c r="E148" s="49">
        <v>185</v>
      </c>
      <c r="F148" s="50">
        <f t="shared" si="5"/>
        <v>370</v>
      </c>
    </row>
    <row r="149" spans="1:6" x14ac:dyDescent="0.25">
      <c r="A149" s="45"/>
      <c r="B149" s="64" t="s">
        <v>127</v>
      </c>
      <c r="C149" s="47">
        <v>2</v>
      </c>
      <c r="D149" s="48" t="s">
        <v>2</v>
      </c>
      <c r="E149" s="49">
        <v>280</v>
      </c>
      <c r="F149" s="50">
        <f t="shared" si="5"/>
        <v>560</v>
      </c>
    </row>
    <row r="150" spans="1:6" x14ac:dyDescent="0.25">
      <c r="A150" s="45"/>
      <c r="B150" s="64" t="s">
        <v>128</v>
      </c>
      <c r="C150" s="47">
        <v>1</v>
      </c>
      <c r="D150" s="48" t="s">
        <v>2</v>
      </c>
      <c r="E150" s="49">
        <v>2302</v>
      </c>
      <c r="F150" s="50">
        <f t="shared" si="5"/>
        <v>2302</v>
      </c>
    </row>
    <row r="151" spans="1:6" x14ac:dyDescent="0.25">
      <c r="A151" s="45"/>
      <c r="B151" s="64" t="s">
        <v>119</v>
      </c>
      <c r="C151" s="47">
        <v>0.25</v>
      </c>
      <c r="D151" s="48" t="s">
        <v>2</v>
      </c>
      <c r="E151" s="49">
        <v>22</v>
      </c>
      <c r="F151" s="50">
        <f t="shared" si="5"/>
        <v>5.5</v>
      </c>
    </row>
    <row r="152" spans="1:6" x14ac:dyDescent="0.25">
      <c r="A152" s="45"/>
      <c r="B152" s="46" t="s">
        <v>108</v>
      </c>
      <c r="C152" s="47">
        <v>1</v>
      </c>
      <c r="D152" s="48" t="s">
        <v>2</v>
      </c>
      <c r="E152" s="49">
        <v>315</v>
      </c>
      <c r="F152" s="50">
        <f t="shared" si="5"/>
        <v>315</v>
      </c>
    </row>
    <row r="153" spans="1:6" ht="15" customHeight="1" x14ac:dyDescent="0.25">
      <c r="A153" s="45"/>
      <c r="B153" s="46" t="s">
        <v>56</v>
      </c>
      <c r="C153" s="47">
        <v>1.4999999999999999E-2</v>
      </c>
      <c r="D153" s="48" t="s">
        <v>10</v>
      </c>
      <c r="E153" s="49">
        <f>SUM(F145:F152)</f>
        <v>3708.5</v>
      </c>
      <c r="F153" s="50">
        <f t="shared" si="5"/>
        <v>55.627499999999998</v>
      </c>
    </row>
    <row r="154" spans="1:6" x14ac:dyDescent="0.25">
      <c r="A154" s="51"/>
      <c r="B154" s="52"/>
      <c r="C154" s="53"/>
      <c r="D154" s="54"/>
      <c r="E154" s="55"/>
      <c r="F154" s="56"/>
    </row>
    <row r="155" spans="1:6" ht="15.75" x14ac:dyDescent="0.25">
      <c r="A155" s="167"/>
      <c r="B155" s="167"/>
      <c r="C155" s="167"/>
      <c r="D155" s="57" t="s">
        <v>57</v>
      </c>
      <c r="E155" s="58"/>
      <c r="F155" s="59">
        <f>SUM(F146:F154)/F143</f>
        <v>3764.1275000000001</v>
      </c>
    </row>
    <row r="157" spans="1:6" ht="30.75" customHeight="1" x14ac:dyDescent="0.25">
      <c r="A157" s="39"/>
      <c r="B157" s="40" t="s">
        <v>129</v>
      </c>
      <c r="C157" s="41"/>
      <c r="D157" s="41"/>
      <c r="E157" s="42" t="s">
        <v>46</v>
      </c>
      <c r="F157" s="43">
        <v>1</v>
      </c>
    </row>
    <row r="158" spans="1:6" s="63" customFormat="1" x14ac:dyDescent="0.25">
      <c r="A158" s="44" t="s">
        <v>47</v>
      </c>
      <c r="B158" s="44" t="s">
        <v>48</v>
      </c>
      <c r="C158" s="44" t="s">
        <v>49</v>
      </c>
      <c r="D158" s="44" t="s">
        <v>50</v>
      </c>
      <c r="E158" s="44" t="s">
        <v>51</v>
      </c>
      <c r="F158" s="44" t="s">
        <v>52</v>
      </c>
    </row>
    <row r="159" spans="1:6" ht="6.75" customHeight="1" x14ac:dyDescent="0.25"/>
    <row r="160" spans="1:6" x14ac:dyDescent="0.25">
      <c r="A160" s="45"/>
      <c r="B160" s="64" t="s">
        <v>130</v>
      </c>
      <c r="C160" s="47">
        <v>1</v>
      </c>
      <c r="D160" s="48" t="s">
        <v>2</v>
      </c>
      <c r="E160" s="49">
        <v>13400</v>
      </c>
      <c r="F160" s="50">
        <f>C160*E160</f>
        <v>13400</v>
      </c>
    </row>
    <row r="161" spans="1:6" x14ac:dyDescent="0.25">
      <c r="A161" s="45"/>
      <c r="B161" s="64" t="s">
        <v>131</v>
      </c>
      <c r="C161" s="47">
        <v>1</v>
      </c>
      <c r="D161" s="48" t="s">
        <v>8</v>
      </c>
      <c r="E161" s="49">
        <v>500</v>
      </c>
      <c r="F161" s="50">
        <f>C161*E161</f>
        <v>500</v>
      </c>
    </row>
    <row r="162" spans="1:6" x14ac:dyDescent="0.25">
      <c r="A162" s="45"/>
      <c r="B162" s="64" t="s">
        <v>108</v>
      </c>
      <c r="C162" s="47">
        <v>1</v>
      </c>
      <c r="D162" s="48" t="s">
        <v>2</v>
      </c>
      <c r="E162" s="49">
        <v>2400</v>
      </c>
      <c r="F162" s="50">
        <f>C162*E162</f>
        <v>2400</v>
      </c>
    </row>
    <row r="163" spans="1:6" x14ac:dyDescent="0.25">
      <c r="A163" s="51"/>
      <c r="B163" s="52"/>
      <c r="C163" s="53"/>
      <c r="D163" s="54"/>
      <c r="E163" s="55"/>
      <c r="F163" s="56"/>
    </row>
    <row r="164" spans="1:6" ht="15.75" x14ac:dyDescent="0.25">
      <c r="A164" s="167"/>
      <c r="B164" s="167"/>
      <c r="C164" s="167"/>
      <c r="D164" s="57" t="s">
        <v>57</v>
      </c>
      <c r="E164" s="58"/>
      <c r="F164" s="59">
        <f>SUM(F160:F163)/F157</f>
        <v>16300</v>
      </c>
    </row>
    <row r="166" spans="1:6" ht="30.75" customHeight="1" x14ac:dyDescent="0.25">
      <c r="A166" s="39"/>
      <c r="B166" s="40" t="s">
        <v>132</v>
      </c>
      <c r="C166" s="41"/>
      <c r="D166" s="41"/>
      <c r="E166" s="42" t="s">
        <v>46</v>
      </c>
      <c r="F166" s="43">
        <v>1</v>
      </c>
    </row>
    <row r="167" spans="1:6" s="63" customFormat="1" x14ac:dyDescent="0.25">
      <c r="A167" s="44" t="s">
        <v>47</v>
      </c>
      <c r="B167" s="44" t="s">
        <v>48</v>
      </c>
      <c r="C167" s="44" t="s">
        <v>49</v>
      </c>
      <c r="D167" s="44" t="s">
        <v>50</v>
      </c>
      <c r="E167" s="44" t="s">
        <v>51</v>
      </c>
      <c r="F167" s="44" t="s">
        <v>52</v>
      </c>
    </row>
    <row r="168" spans="1:6" ht="6.75" customHeight="1" x14ac:dyDescent="0.25"/>
    <row r="169" spans="1:6" x14ac:dyDescent="0.25">
      <c r="A169" s="45"/>
      <c r="B169" s="64" t="s">
        <v>133</v>
      </c>
      <c r="C169" s="47">
        <v>1</v>
      </c>
      <c r="D169" s="48" t="s">
        <v>2</v>
      </c>
      <c r="E169" s="49">
        <v>3145</v>
      </c>
      <c r="F169" s="50">
        <f>C169*E169</f>
        <v>3145</v>
      </c>
    </row>
    <row r="170" spans="1:6" x14ac:dyDescent="0.25">
      <c r="A170" s="45"/>
      <c r="B170" s="64" t="s">
        <v>131</v>
      </c>
      <c r="C170" s="47">
        <v>1</v>
      </c>
      <c r="D170" s="48" t="s">
        <v>8</v>
      </c>
      <c r="E170" s="49">
        <v>100</v>
      </c>
      <c r="F170" s="50">
        <f>C170*E170</f>
        <v>100</v>
      </c>
    </row>
    <row r="171" spans="1:6" ht="15" customHeight="1" x14ac:dyDescent="0.25">
      <c r="A171" s="45"/>
      <c r="B171" s="64" t="s">
        <v>108</v>
      </c>
      <c r="C171" s="47">
        <v>1</v>
      </c>
      <c r="D171" s="48" t="s">
        <v>2</v>
      </c>
      <c r="E171" s="49">
        <v>450</v>
      </c>
      <c r="F171" s="50">
        <f>C171*E171</f>
        <v>450</v>
      </c>
    </row>
    <row r="172" spans="1:6" x14ac:dyDescent="0.25">
      <c r="A172" s="51"/>
      <c r="B172" s="52"/>
      <c r="C172" s="53"/>
      <c r="D172" s="54"/>
      <c r="E172" s="55"/>
      <c r="F172" s="56"/>
    </row>
    <row r="173" spans="1:6" ht="15.75" x14ac:dyDescent="0.25">
      <c r="A173" s="167"/>
      <c r="B173" s="167"/>
      <c r="C173" s="167"/>
      <c r="D173" s="57" t="s">
        <v>57</v>
      </c>
      <c r="E173" s="58"/>
      <c r="F173" s="59">
        <f>SUM(F169:F172)/F166</f>
        <v>3695</v>
      </c>
    </row>
    <row r="175" spans="1:6" ht="30.75" customHeight="1" x14ac:dyDescent="0.25">
      <c r="A175" s="39"/>
      <c r="B175" s="40" t="s">
        <v>134</v>
      </c>
      <c r="C175" s="41"/>
      <c r="D175" s="41"/>
      <c r="E175" s="42" t="s">
        <v>46</v>
      </c>
      <c r="F175" s="43">
        <v>1</v>
      </c>
    </row>
    <row r="176" spans="1:6" s="63" customFormat="1" x14ac:dyDescent="0.25">
      <c r="A176" s="44" t="s">
        <v>47</v>
      </c>
      <c r="B176" s="44" t="s">
        <v>48</v>
      </c>
      <c r="C176" s="44" t="s">
        <v>49</v>
      </c>
      <c r="D176" s="44" t="s">
        <v>50</v>
      </c>
      <c r="E176" s="44" t="s">
        <v>51</v>
      </c>
      <c r="F176" s="44" t="s">
        <v>52</v>
      </c>
    </row>
    <row r="177" spans="1:6" ht="6.75" customHeight="1" x14ac:dyDescent="0.25"/>
    <row r="178" spans="1:6" ht="30" x14ac:dyDescent="0.25">
      <c r="A178" s="45"/>
      <c r="B178" s="64" t="s">
        <v>135</v>
      </c>
      <c r="C178" s="47">
        <v>1</v>
      </c>
      <c r="D178" s="48" t="s">
        <v>2</v>
      </c>
      <c r="E178" s="49">
        <v>2400</v>
      </c>
      <c r="F178" s="50">
        <f>C178*E178</f>
        <v>2400</v>
      </c>
    </row>
    <row r="179" spans="1:6" x14ac:dyDescent="0.25">
      <c r="A179" s="45"/>
      <c r="B179" s="64" t="s">
        <v>131</v>
      </c>
      <c r="C179" s="47">
        <v>1</v>
      </c>
      <c r="D179" s="48" t="s">
        <v>8</v>
      </c>
      <c r="E179" s="49">
        <v>50</v>
      </c>
      <c r="F179" s="50">
        <f>C179*E179</f>
        <v>50</v>
      </c>
    </row>
    <row r="180" spans="1:6" x14ac:dyDescent="0.25">
      <c r="A180" s="45"/>
      <c r="B180" s="64" t="s">
        <v>108</v>
      </c>
      <c r="C180" s="47">
        <v>1</v>
      </c>
      <c r="D180" s="48" t="s">
        <v>2</v>
      </c>
      <c r="E180" s="49">
        <v>450</v>
      </c>
      <c r="F180" s="50">
        <f>C180*E180</f>
        <v>450</v>
      </c>
    </row>
    <row r="181" spans="1:6" x14ac:dyDescent="0.25">
      <c r="A181" s="51"/>
      <c r="B181" s="52"/>
      <c r="C181" s="53"/>
      <c r="D181" s="54"/>
      <c r="E181" s="55"/>
      <c r="F181" s="56"/>
    </row>
    <row r="182" spans="1:6" ht="15.75" x14ac:dyDescent="0.25">
      <c r="A182" s="167"/>
      <c r="B182" s="167"/>
      <c r="C182" s="167"/>
      <c r="D182" s="57" t="s">
        <v>57</v>
      </c>
      <c r="E182" s="58"/>
      <c r="F182" s="59">
        <f>SUM(F178:F181)/F175</f>
        <v>2900</v>
      </c>
    </row>
    <row r="184" spans="1:6" ht="30.75" customHeight="1" x14ac:dyDescent="0.25">
      <c r="A184" s="39"/>
      <c r="B184" s="40" t="s">
        <v>136</v>
      </c>
      <c r="C184" s="41"/>
      <c r="D184" s="41"/>
      <c r="E184" s="42" t="s">
        <v>46</v>
      </c>
      <c r="F184" s="43">
        <v>1</v>
      </c>
    </row>
    <row r="185" spans="1:6" s="63" customFormat="1" x14ac:dyDescent="0.25">
      <c r="A185" s="44" t="s">
        <v>47</v>
      </c>
      <c r="B185" s="44" t="s">
        <v>48</v>
      </c>
      <c r="C185" s="44" t="s">
        <v>49</v>
      </c>
      <c r="D185" s="44" t="s">
        <v>50</v>
      </c>
      <c r="E185" s="44" t="s">
        <v>51</v>
      </c>
      <c r="F185" s="44" t="s">
        <v>52</v>
      </c>
    </row>
    <row r="186" spans="1:6" ht="6.75" customHeight="1" x14ac:dyDescent="0.25"/>
    <row r="187" spans="1:6" ht="30" x14ac:dyDescent="0.25">
      <c r="A187" s="45"/>
      <c r="B187" s="64" t="s">
        <v>137</v>
      </c>
      <c r="C187" s="47">
        <v>1</v>
      </c>
      <c r="D187" s="48" t="s">
        <v>2</v>
      </c>
      <c r="E187" s="49">
        <v>2500</v>
      </c>
      <c r="F187" s="50">
        <f>C187*E187</f>
        <v>2500</v>
      </c>
    </row>
    <row r="188" spans="1:6" x14ac:dyDescent="0.25">
      <c r="A188" s="45"/>
      <c r="B188" s="64" t="s">
        <v>131</v>
      </c>
      <c r="C188" s="47">
        <v>1</v>
      </c>
      <c r="D188" s="48" t="s">
        <v>8</v>
      </c>
      <c r="E188" s="49">
        <v>250</v>
      </c>
      <c r="F188" s="50">
        <f>C188*E188</f>
        <v>250</v>
      </c>
    </row>
    <row r="189" spans="1:6" ht="15" customHeight="1" x14ac:dyDescent="0.25">
      <c r="A189" s="45"/>
      <c r="B189" s="64" t="s">
        <v>108</v>
      </c>
      <c r="C189" s="47">
        <v>1</v>
      </c>
      <c r="D189" s="48" t="s">
        <v>2</v>
      </c>
      <c r="E189" s="49">
        <v>450</v>
      </c>
      <c r="F189" s="50">
        <f>C189*E189</f>
        <v>450</v>
      </c>
    </row>
    <row r="190" spans="1:6" x14ac:dyDescent="0.25">
      <c r="A190" s="51"/>
      <c r="B190" s="52"/>
      <c r="C190" s="53"/>
      <c r="D190" s="54"/>
      <c r="E190" s="55"/>
      <c r="F190" s="56"/>
    </row>
    <row r="191" spans="1:6" ht="15.75" x14ac:dyDescent="0.25">
      <c r="A191" s="167"/>
      <c r="B191" s="167"/>
      <c r="C191" s="167"/>
      <c r="D191" s="57" t="s">
        <v>57</v>
      </c>
      <c r="E191" s="58"/>
      <c r="F191" s="59">
        <f>SUM(F187:F190)/F184</f>
        <v>3200</v>
      </c>
    </row>
    <row r="193" spans="1:6" ht="40.5" customHeight="1" x14ac:dyDescent="0.25">
      <c r="A193" s="39"/>
      <c r="B193" s="40" t="s">
        <v>138</v>
      </c>
      <c r="C193" s="41"/>
      <c r="D193" s="41"/>
      <c r="E193" s="42" t="s">
        <v>46</v>
      </c>
      <c r="F193" s="43">
        <v>1</v>
      </c>
    </row>
    <row r="194" spans="1:6" s="63" customFormat="1" x14ac:dyDescent="0.25">
      <c r="A194" s="44" t="s">
        <v>47</v>
      </c>
      <c r="B194" s="44" t="s">
        <v>48</v>
      </c>
      <c r="C194" s="44" t="s">
        <v>49</v>
      </c>
      <c r="D194" s="44" t="s">
        <v>50</v>
      </c>
      <c r="E194" s="44" t="s">
        <v>51</v>
      </c>
      <c r="F194" s="44" t="s">
        <v>52</v>
      </c>
    </row>
    <row r="195" spans="1:6" ht="6.75" customHeight="1" x14ac:dyDescent="0.25"/>
    <row r="196" spans="1:6" ht="45" x14ac:dyDescent="0.25">
      <c r="A196" s="45"/>
      <c r="B196" s="64" t="s">
        <v>139</v>
      </c>
      <c r="C196" s="47">
        <v>1</v>
      </c>
      <c r="D196" s="48" t="s">
        <v>2</v>
      </c>
      <c r="E196" s="49">
        <v>8200</v>
      </c>
      <c r="F196" s="50">
        <f>C196*E196</f>
        <v>8200</v>
      </c>
    </row>
    <row r="197" spans="1:6" x14ac:dyDescent="0.25">
      <c r="A197" s="45"/>
      <c r="B197" s="64" t="s">
        <v>131</v>
      </c>
      <c r="C197" s="47">
        <v>1</v>
      </c>
      <c r="D197" s="48" t="s">
        <v>8</v>
      </c>
      <c r="E197" s="49">
        <v>250</v>
      </c>
      <c r="F197" s="50">
        <f>C197*E197</f>
        <v>250</v>
      </c>
    </row>
    <row r="198" spans="1:6" x14ac:dyDescent="0.25">
      <c r="A198" s="45"/>
      <c r="B198" s="64" t="s">
        <v>108</v>
      </c>
      <c r="C198" s="47">
        <v>1</v>
      </c>
      <c r="D198" s="48" t="s">
        <v>2</v>
      </c>
      <c r="E198" s="49">
        <v>300</v>
      </c>
      <c r="F198" s="50">
        <f>C198*E198</f>
        <v>300</v>
      </c>
    </row>
    <row r="199" spans="1:6" x14ac:dyDescent="0.25">
      <c r="A199" s="51"/>
      <c r="B199" s="52"/>
      <c r="C199" s="53"/>
      <c r="D199" s="54"/>
      <c r="E199" s="55"/>
      <c r="F199" s="56"/>
    </row>
    <row r="200" spans="1:6" ht="15.75" x14ac:dyDescent="0.25">
      <c r="A200" s="167"/>
      <c r="B200" s="167"/>
      <c r="C200" s="167"/>
      <c r="D200" s="57" t="s">
        <v>57</v>
      </c>
      <c r="E200" s="58"/>
      <c r="F200" s="59">
        <f>SUM(F196:F199)/F193</f>
        <v>8750</v>
      </c>
    </row>
    <row r="202" spans="1:6" ht="40.5" customHeight="1" x14ac:dyDescent="0.25">
      <c r="A202" s="39"/>
      <c r="B202" s="40" t="s">
        <v>140</v>
      </c>
      <c r="C202" s="41"/>
      <c r="D202" s="41"/>
      <c r="E202" s="42" t="s">
        <v>46</v>
      </c>
      <c r="F202" s="43">
        <v>1</v>
      </c>
    </row>
    <row r="203" spans="1:6" s="63" customFormat="1" x14ac:dyDescent="0.25">
      <c r="A203" s="44" t="s">
        <v>47</v>
      </c>
      <c r="B203" s="44" t="s">
        <v>48</v>
      </c>
      <c r="C203" s="44" t="s">
        <v>49</v>
      </c>
      <c r="D203" s="44" t="s">
        <v>50</v>
      </c>
      <c r="E203" s="44" t="s">
        <v>51</v>
      </c>
      <c r="F203" s="44" t="s">
        <v>52</v>
      </c>
    </row>
    <row r="204" spans="1:6" ht="6.75" customHeight="1" x14ac:dyDescent="0.25"/>
    <row r="205" spans="1:6" ht="34.5" customHeight="1" x14ac:dyDescent="0.25">
      <c r="A205" s="45"/>
      <c r="B205" s="64" t="s">
        <v>141</v>
      </c>
      <c r="C205" s="47">
        <v>1</v>
      </c>
      <c r="D205" s="48" t="s">
        <v>2</v>
      </c>
      <c r="E205" s="49">
        <v>8200</v>
      </c>
      <c r="F205" s="50">
        <f>C205*E205</f>
        <v>8200</v>
      </c>
    </row>
    <row r="206" spans="1:6" ht="17.25" customHeight="1" x14ac:dyDescent="0.25">
      <c r="A206" s="45"/>
      <c r="B206" s="64" t="s">
        <v>142</v>
      </c>
      <c r="C206" s="47">
        <v>1</v>
      </c>
      <c r="D206" s="48" t="s">
        <v>2</v>
      </c>
      <c r="E206" s="49">
        <v>1285</v>
      </c>
      <c r="F206" s="50">
        <f>C206*E206</f>
        <v>1285</v>
      </c>
    </row>
    <row r="207" spans="1:6" x14ac:dyDescent="0.25">
      <c r="A207" s="45"/>
      <c r="B207" s="64" t="s">
        <v>108</v>
      </c>
      <c r="C207" s="47">
        <v>1</v>
      </c>
      <c r="D207" s="48" t="s">
        <v>2</v>
      </c>
      <c r="E207" s="49">
        <v>650</v>
      </c>
      <c r="F207" s="50">
        <f>C207*E207</f>
        <v>650</v>
      </c>
    </row>
    <row r="208" spans="1:6" ht="20.100000000000001" customHeight="1" x14ac:dyDescent="0.25">
      <c r="A208" s="51"/>
      <c r="B208" s="52"/>
      <c r="C208" s="53"/>
      <c r="D208" s="54"/>
      <c r="E208" s="55"/>
      <c r="F208" s="56"/>
    </row>
    <row r="209" spans="1:6" ht="15.75" x14ac:dyDescent="0.25">
      <c r="A209" s="167"/>
      <c r="B209" s="167"/>
      <c r="C209" s="167"/>
      <c r="D209" s="57" t="s">
        <v>57</v>
      </c>
      <c r="E209" s="58"/>
      <c r="F209" s="59">
        <f>SUM(F205:F208)/F202</f>
        <v>10135</v>
      </c>
    </row>
    <row r="211" spans="1:6" ht="40.5" customHeight="1" x14ac:dyDescent="0.25">
      <c r="A211" s="39"/>
      <c r="B211" s="40" t="s">
        <v>143</v>
      </c>
      <c r="C211" s="41"/>
      <c r="D211" s="41"/>
      <c r="E211" s="42" t="s">
        <v>46</v>
      </c>
      <c r="F211" s="43">
        <v>1</v>
      </c>
    </row>
    <row r="212" spans="1:6" s="63" customFormat="1" x14ac:dyDescent="0.25">
      <c r="A212" s="44" t="s">
        <v>47</v>
      </c>
      <c r="B212" s="44" t="s">
        <v>48</v>
      </c>
      <c r="C212" s="44" t="s">
        <v>49</v>
      </c>
      <c r="D212" s="44" t="s">
        <v>50</v>
      </c>
      <c r="E212" s="44" t="s">
        <v>51</v>
      </c>
      <c r="F212" s="44" t="s">
        <v>52</v>
      </c>
    </row>
    <row r="213" spans="1:6" ht="6.75" customHeight="1" x14ac:dyDescent="0.25"/>
    <row r="214" spans="1:6" ht="30" x14ac:dyDescent="0.25">
      <c r="A214" s="45"/>
      <c r="B214" s="64" t="s">
        <v>144</v>
      </c>
      <c r="C214" s="47">
        <v>1</v>
      </c>
      <c r="D214" s="48" t="s">
        <v>2</v>
      </c>
      <c r="E214" s="49">
        <v>20100</v>
      </c>
      <c r="F214" s="50">
        <f>C214*E214</f>
        <v>20100</v>
      </c>
    </row>
    <row r="215" spans="1:6" ht="17.25" customHeight="1" x14ac:dyDescent="0.25">
      <c r="A215" s="45"/>
      <c r="B215" s="64" t="s">
        <v>142</v>
      </c>
      <c r="C215" s="47">
        <v>1</v>
      </c>
      <c r="D215" s="48" t="s">
        <v>2</v>
      </c>
      <c r="E215" s="49">
        <v>1285</v>
      </c>
      <c r="F215" s="50">
        <f>C215*E215</f>
        <v>1285</v>
      </c>
    </row>
    <row r="216" spans="1:6" x14ac:dyDescent="0.25">
      <c r="A216" s="45"/>
      <c r="B216" s="64" t="s">
        <v>108</v>
      </c>
      <c r="C216" s="47">
        <v>1</v>
      </c>
      <c r="D216" s="48" t="s">
        <v>2</v>
      </c>
      <c r="E216" s="49">
        <v>2055</v>
      </c>
      <c r="F216" s="50">
        <f>C216*E216</f>
        <v>2055</v>
      </c>
    </row>
    <row r="217" spans="1:6" ht="20.100000000000001" customHeight="1" x14ac:dyDescent="0.25">
      <c r="A217" s="51"/>
      <c r="B217" s="52"/>
      <c r="C217" s="53"/>
      <c r="D217" s="54"/>
      <c r="E217" s="55"/>
      <c r="F217" s="56"/>
    </row>
    <row r="218" spans="1:6" ht="15.75" x14ac:dyDescent="0.25">
      <c r="A218" s="167"/>
      <c r="B218" s="167"/>
      <c r="C218" s="167"/>
      <c r="D218" s="57" t="s">
        <v>57</v>
      </c>
      <c r="E218" s="58"/>
      <c r="F218" s="59">
        <f>SUM(F214:F217)/F211</f>
        <v>23440</v>
      </c>
    </row>
    <row r="220" spans="1:6" ht="40.5" customHeight="1" x14ac:dyDescent="0.25">
      <c r="A220" s="39"/>
      <c r="B220" s="40" t="s">
        <v>145</v>
      </c>
      <c r="C220" s="41"/>
      <c r="D220" s="41"/>
      <c r="E220" s="42" t="s">
        <v>46</v>
      </c>
      <c r="F220" s="43">
        <v>1</v>
      </c>
    </row>
    <row r="221" spans="1:6" s="63" customFormat="1" x14ac:dyDescent="0.25">
      <c r="A221" s="44" t="s">
        <v>47</v>
      </c>
      <c r="B221" s="44" t="s">
        <v>48</v>
      </c>
      <c r="C221" s="44" t="s">
        <v>49</v>
      </c>
      <c r="D221" s="44" t="s">
        <v>50</v>
      </c>
      <c r="E221" s="44" t="s">
        <v>51</v>
      </c>
      <c r="F221" s="44" t="s">
        <v>52</v>
      </c>
    </row>
    <row r="222" spans="1:6" ht="6.75" customHeight="1" x14ac:dyDescent="0.25"/>
    <row r="223" spans="1:6" ht="13.5" customHeight="1" x14ac:dyDescent="0.25">
      <c r="A223" s="45"/>
      <c r="B223" s="64" t="s">
        <v>146</v>
      </c>
      <c r="C223" s="47">
        <v>1</v>
      </c>
      <c r="D223" s="48" t="s">
        <v>2</v>
      </c>
      <c r="E223" s="49">
        <v>950</v>
      </c>
      <c r="F223" s="50">
        <f>C223*E223</f>
        <v>950</v>
      </c>
    </row>
    <row r="224" spans="1:6" ht="13.5" customHeight="1" x14ac:dyDescent="0.25">
      <c r="A224" s="45"/>
      <c r="B224" s="64" t="s">
        <v>147</v>
      </c>
      <c r="C224" s="47">
        <v>1</v>
      </c>
      <c r="D224" s="48" t="s">
        <v>2</v>
      </c>
      <c r="E224" s="49">
        <v>185.21</v>
      </c>
      <c r="F224" s="50">
        <f>C224*E224</f>
        <v>185.21</v>
      </c>
    </row>
    <row r="225" spans="1:6" x14ac:dyDescent="0.25">
      <c r="A225" s="45"/>
      <c r="B225" s="64" t="s">
        <v>131</v>
      </c>
      <c r="C225" s="47">
        <v>1</v>
      </c>
      <c r="D225" s="48" t="s">
        <v>8</v>
      </c>
      <c r="E225" s="49">
        <v>200</v>
      </c>
      <c r="F225" s="50">
        <f>C225*E225</f>
        <v>200</v>
      </c>
    </row>
    <row r="226" spans="1:6" x14ac:dyDescent="0.25">
      <c r="A226" s="45"/>
      <c r="B226" s="64" t="s">
        <v>108</v>
      </c>
      <c r="C226" s="47">
        <v>1</v>
      </c>
      <c r="D226" s="48" t="s">
        <v>2</v>
      </c>
      <c r="E226" s="49">
        <v>1327.6</v>
      </c>
      <c r="F226" s="50">
        <f>C226*E226</f>
        <v>1327.6</v>
      </c>
    </row>
    <row r="227" spans="1:6" ht="13.5" customHeight="1" x14ac:dyDescent="0.25">
      <c r="A227" s="51"/>
      <c r="B227" s="52"/>
      <c r="C227" s="53"/>
      <c r="D227" s="54"/>
      <c r="E227" s="55"/>
      <c r="F227" s="56"/>
    </row>
    <row r="228" spans="1:6" ht="15.75" x14ac:dyDescent="0.25">
      <c r="A228" s="167"/>
      <c r="B228" s="167"/>
      <c r="C228" s="167"/>
      <c r="D228" s="57" t="s">
        <v>57</v>
      </c>
      <c r="E228" s="58"/>
      <c r="F228" s="59">
        <f>SUM(F223:F227)/F220</f>
        <v>2662.81</v>
      </c>
    </row>
    <row r="230" spans="1:6" ht="40.5" customHeight="1" x14ac:dyDescent="0.25">
      <c r="A230" s="39"/>
      <c r="B230" s="40" t="s">
        <v>148</v>
      </c>
      <c r="C230" s="41"/>
      <c r="D230" s="41"/>
      <c r="E230" s="42" t="s">
        <v>46</v>
      </c>
      <c r="F230" s="43">
        <v>1</v>
      </c>
    </row>
    <row r="231" spans="1:6" s="63" customFormat="1" x14ac:dyDescent="0.25">
      <c r="A231" s="44" t="s">
        <v>47</v>
      </c>
      <c r="B231" s="44" t="s">
        <v>48</v>
      </c>
      <c r="C231" s="44" t="s">
        <v>49</v>
      </c>
      <c r="D231" s="44" t="s">
        <v>50</v>
      </c>
      <c r="E231" s="44" t="s">
        <v>51</v>
      </c>
      <c r="F231" s="44" t="s">
        <v>52</v>
      </c>
    </row>
    <row r="232" spans="1:6" ht="6.75" customHeight="1" x14ac:dyDescent="0.25"/>
    <row r="233" spans="1:6" ht="48.75" customHeight="1" x14ac:dyDescent="0.25">
      <c r="A233" s="45"/>
      <c r="B233" s="64" t="s">
        <v>149</v>
      </c>
      <c r="C233" s="47">
        <v>1</v>
      </c>
      <c r="D233" s="48" t="s">
        <v>2</v>
      </c>
      <c r="E233" s="49">
        <v>1200</v>
      </c>
      <c r="F233" s="50">
        <f>C233*E233</f>
        <v>1200</v>
      </c>
    </row>
    <row r="234" spans="1:6" ht="13.5" customHeight="1" x14ac:dyDescent="0.25">
      <c r="A234" s="45"/>
      <c r="B234" s="64" t="s">
        <v>131</v>
      </c>
      <c r="C234" s="47">
        <v>0.22</v>
      </c>
      <c r="D234" s="48" t="s">
        <v>150</v>
      </c>
      <c r="E234" s="49">
        <v>175</v>
      </c>
      <c r="F234" s="50">
        <f>C234*E234</f>
        <v>38.5</v>
      </c>
    </row>
    <row r="235" spans="1:6" x14ac:dyDescent="0.25">
      <c r="A235" s="45"/>
      <c r="B235" s="64" t="s">
        <v>108</v>
      </c>
      <c r="C235" s="47">
        <v>1</v>
      </c>
      <c r="D235" s="48" t="s">
        <v>2</v>
      </c>
      <c r="E235" s="49">
        <v>713.49</v>
      </c>
      <c r="F235" s="50">
        <f>C235*E235</f>
        <v>713.49</v>
      </c>
    </row>
    <row r="236" spans="1:6" ht="15" customHeight="1" x14ac:dyDescent="0.25">
      <c r="A236" s="51"/>
      <c r="B236" s="52"/>
      <c r="C236" s="53"/>
      <c r="D236" s="54"/>
      <c r="E236" s="55"/>
      <c r="F236" s="56"/>
    </row>
    <row r="237" spans="1:6" ht="15.75" x14ac:dyDescent="0.25">
      <c r="A237" s="167"/>
      <c r="B237" s="167"/>
      <c r="C237" s="167"/>
      <c r="D237" s="57" t="s">
        <v>57</v>
      </c>
      <c r="E237" s="58"/>
      <c r="F237" s="59">
        <f>SUM(F233:F236)/F230</f>
        <v>1951.99</v>
      </c>
    </row>
    <row r="239" spans="1:6" ht="31.5" customHeight="1" x14ac:dyDescent="0.25">
      <c r="A239" s="39"/>
      <c r="B239" s="40" t="s">
        <v>5</v>
      </c>
      <c r="C239" s="41"/>
      <c r="D239" s="41"/>
      <c r="E239" s="42" t="s">
        <v>46</v>
      </c>
      <c r="F239" s="43">
        <v>2.02</v>
      </c>
    </row>
    <row r="240" spans="1:6" s="63" customFormat="1" x14ac:dyDescent="0.25">
      <c r="A240" s="44" t="s">
        <v>47</v>
      </c>
      <c r="B240" s="44" t="s">
        <v>48</v>
      </c>
      <c r="C240" s="44" t="s">
        <v>49</v>
      </c>
      <c r="D240" s="44" t="s">
        <v>50</v>
      </c>
      <c r="E240" s="44" t="s">
        <v>51</v>
      </c>
      <c r="F240" s="44" t="s">
        <v>52</v>
      </c>
    </row>
    <row r="241" spans="1:6" ht="6.75" customHeight="1" x14ac:dyDescent="0.25"/>
    <row r="242" spans="1:6" x14ac:dyDescent="0.25">
      <c r="A242" s="45"/>
      <c r="B242" s="64" t="s">
        <v>151</v>
      </c>
      <c r="C242" s="47">
        <f>6/8</f>
        <v>0.75</v>
      </c>
      <c r="D242" s="48" t="s">
        <v>54</v>
      </c>
      <c r="E242" s="49">
        <f>797.39*3</f>
        <v>2392.17</v>
      </c>
      <c r="F242" s="50">
        <f>C242*E242</f>
        <v>1794.1275000000001</v>
      </c>
    </row>
    <row r="243" spans="1:6" x14ac:dyDescent="0.25">
      <c r="A243" s="45"/>
      <c r="B243" s="64" t="s">
        <v>60</v>
      </c>
      <c r="C243" s="47">
        <f>C242*0.1</f>
        <v>7.5000000000000011E-2</v>
      </c>
      <c r="D243" s="48" t="s">
        <v>54</v>
      </c>
      <c r="E243" s="49">
        <v>1898.49</v>
      </c>
      <c r="F243" s="50">
        <f>C243*E243</f>
        <v>142.38675000000003</v>
      </c>
    </row>
    <row r="244" spans="1:6" x14ac:dyDescent="0.25">
      <c r="A244" s="45"/>
      <c r="B244" s="46" t="s">
        <v>56</v>
      </c>
      <c r="C244" s="47">
        <v>1.4999999999999999E-2</v>
      </c>
      <c r="D244" s="48" t="s">
        <v>10</v>
      </c>
      <c r="E244" s="49">
        <f>SUM(F241:F243)</f>
        <v>1936.5142500000002</v>
      </c>
      <c r="F244" s="50">
        <f>C244*E244</f>
        <v>29.04771375</v>
      </c>
    </row>
    <row r="245" spans="1:6" x14ac:dyDescent="0.25">
      <c r="A245" s="51"/>
      <c r="B245" s="52"/>
      <c r="C245" s="53"/>
      <c r="D245" s="54"/>
      <c r="E245" s="55"/>
      <c r="F245" s="56"/>
    </row>
    <row r="246" spans="1:6" ht="15.75" x14ac:dyDescent="0.25">
      <c r="A246" s="167"/>
      <c r="B246" s="167"/>
      <c r="C246" s="167"/>
      <c r="D246" s="57" t="s">
        <v>67</v>
      </c>
      <c r="E246" s="58"/>
      <c r="F246" s="59">
        <f>SUM(F242:F245)/F239</f>
        <v>973.05047710396047</v>
      </c>
    </row>
    <row r="248" spans="1:6" ht="31.5" customHeight="1" x14ac:dyDescent="0.25">
      <c r="A248" s="39"/>
      <c r="B248" s="40" t="s">
        <v>6</v>
      </c>
      <c r="C248" s="41"/>
      <c r="D248" s="41"/>
      <c r="E248" s="42" t="s">
        <v>46</v>
      </c>
      <c r="F248" s="43">
        <v>2.02</v>
      </c>
    </row>
    <row r="249" spans="1:6" s="63" customFormat="1" x14ac:dyDescent="0.25">
      <c r="A249" s="44" t="s">
        <v>47</v>
      </c>
      <c r="B249" s="44" t="s">
        <v>48</v>
      </c>
      <c r="C249" s="44" t="s">
        <v>49</v>
      </c>
      <c r="D249" s="44" t="s">
        <v>50</v>
      </c>
      <c r="E249" s="44" t="s">
        <v>51</v>
      </c>
      <c r="F249" s="44" t="s">
        <v>52</v>
      </c>
    </row>
    <row r="250" spans="1:6" ht="6.75" customHeight="1" x14ac:dyDescent="0.25"/>
    <row r="251" spans="1:6" x14ac:dyDescent="0.25">
      <c r="A251" s="45"/>
      <c r="B251" s="64" t="s">
        <v>152</v>
      </c>
      <c r="C251" s="47">
        <v>2.02</v>
      </c>
      <c r="D251" s="48" t="s">
        <v>153</v>
      </c>
      <c r="E251" s="49">
        <f>2500/2.02</f>
        <v>1237.6237623762377</v>
      </c>
      <c r="F251" s="50">
        <f>C251*E251</f>
        <v>2500</v>
      </c>
    </row>
    <row r="252" spans="1:6" x14ac:dyDescent="0.25">
      <c r="A252" s="45"/>
      <c r="B252" s="64" t="s">
        <v>154</v>
      </c>
      <c r="C252" s="47">
        <v>0.125</v>
      </c>
      <c r="D252" s="48" t="s">
        <v>54</v>
      </c>
      <c r="E252" s="49">
        <f>797.39*2</f>
        <v>1594.78</v>
      </c>
      <c r="F252" s="50">
        <f>C252*E252</f>
        <v>199.3475</v>
      </c>
    </row>
    <row r="253" spans="1:6" x14ac:dyDescent="0.25">
      <c r="A253" s="45"/>
      <c r="B253" s="64" t="s">
        <v>60</v>
      </c>
      <c r="C253" s="47">
        <f>C252*0.1</f>
        <v>1.2500000000000001E-2</v>
      </c>
      <c r="D253" s="48" t="s">
        <v>54</v>
      </c>
      <c r="E253" s="49">
        <v>1898.49</v>
      </c>
      <c r="F253" s="50">
        <f>C253*E253</f>
        <v>23.731125000000002</v>
      </c>
    </row>
    <row r="254" spans="1:6" x14ac:dyDescent="0.25">
      <c r="A254" s="45"/>
      <c r="B254" s="46" t="s">
        <v>56</v>
      </c>
      <c r="C254" s="47">
        <v>1.4999999999999999E-2</v>
      </c>
      <c r="D254" s="48" t="s">
        <v>10</v>
      </c>
      <c r="E254" s="49">
        <f>SUM(F250:F253)</f>
        <v>2723.0786249999996</v>
      </c>
      <c r="F254" s="50">
        <f>C254*E254</f>
        <v>40.846179374999991</v>
      </c>
    </row>
    <row r="255" spans="1:6" ht="15" customHeight="1" x14ac:dyDescent="0.25">
      <c r="A255" s="51"/>
      <c r="B255" s="52"/>
      <c r="C255" s="53"/>
      <c r="D255" s="54"/>
      <c r="E255" s="55"/>
      <c r="F255" s="56"/>
    </row>
    <row r="256" spans="1:6" ht="15.75" x14ac:dyDescent="0.25">
      <c r="A256" s="167"/>
      <c r="B256" s="167"/>
      <c r="C256" s="167"/>
      <c r="D256" s="57" t="s">
        <v>67</v>
      </c>
      <c r="E256" s="58"/>
      <c r="F256" s="59">
        <f>SUM(F251:F255)/F248</f>
        <v>1368.2796061262372</v>
      </c>
    </row>
    <row r="258" spans="1:6" ht="31.5" customHeight="1" x14ac:dyDescent="0.25">
      <c r="A258" s="39"/>
      <c r="B258" s="40" t="s">
        <v>7</v>
      </c>
      <c r="C258" s="41"/>
      <c r="D258" s="41"/>
      <c r="E258" s="42" t="s">
        <v>46</v>
      </c>
      <c r="F258" s="43">
        <v>1</v>
      </c>
    </row>
    <row r="259" spans="1:6" s="63" customFormat="1" ht="15" customHeight="1" x14ac:dyDescent="0.25">
      <c r="A259" s="44" t="s">
        <v>47</v>
      </c>
      <c r="B259" s="44" t="s">
        <v>48</v>
      </c>
      <c r="C259" s="44" t="s">
        <v>49</v>
      </c>
      <c r="D259" s="44" t="s">
        <v>50</v>
      </c>
      <c r="E259" s="44" t="s">
        <v>51</v>
      </c>
      <c r="F259" s="44" t="s">
        <v>52</v>
      </c>
    </row>
    <row r="260" spans="1:6" ht="6.75" customHeight="1" x14ac:dyDescent="0.25"/>
    <row r="261" spans="1:6" x14ac:dyDescent="0.25">
      <c r="A261" s="45"/>
      <c r="B261" s="64" t="s">
        <v>154</v>
      </c>
      <c r="C261" s="47">
        <v>4</v>
      </c>
      <c r="D261" s="48" t="s">
        <v>54</v>
      </c>
      <c r="E261" s="49">
        <f>797.39*2</f>
        <v>1594.78</v>
      </c>
      <c r="F261" s="50">
        <f>C261*E261</f>
        <v>6379.12</v>
      </c>
    </row>
    <row r="262" spans="1:6" x14ac:dyDescent="0.25">
      <c r="A262" s="45"/>
      <c r="B262" s="64" t="s">
        <v>60</v>
      </c>
      <c r="C262" s="47">
        <f>C261*0.2</f>
        <v>0.8</v>
      </c>
      <c r="D262" s="48" t="s">
        <v>54</v>
      </c>
      <c r="E262" s="49">
        <v>1898.49</v>
      </c>
      <c r="F262" s="50">
        <f>C262*E262</f>
        <v>1518.7920000000001</v>
      </c>
    </row>
    <row r="263" spans="1:6" x14ac:dyDescent="0.25">
      <c r="A263" s="45"/>
      <c r="B263" s="46" t="s">
        <v>56</v>
      </c>
      <c r="C263" s="47">
        <v>1.4999999999999999E-2</v>
      </c>
      <c r="D263" s="48" t="s">
        <v>10</v>
      </c>
      <c r="E263" s="49">
        <f>SUM(F260:F262)</f>
        <v>7897.9120000000003</v>
      </c>
      <c r="F263" s="50">
        <f>C263*E263</f>
        <v>118.46868000000001</v>
      </c>
    </row>
    <row r="264" spans="1:6" x14ac:dyDescent="0.25">
      <c r="A264" s="51"/>
      <c r="B264" s="52"/>
      <c r="C264" s="53"/>
      <c r="D264" s="54"/>
      <c r="E264" s="55"/>
      <c r="F264" s="56"/>
    </row>
    <row r="265" spans="1:6" ht="15.75" x14ac:dyDescent="0.25">
      <c r="A265" s="167"/>
      <c r="B265" s="167"/>
      <c r="C265" s="167"/>
      <c r="D265" s="57" t="s">
        <v>155</v>
      </c>
      <c r="E265" s="58"/>
      <c r="F265" s="59">
        <f>SUM(F261:F264)/F258</f>
        <v>8016.3806800000002</v>
      </c>
    </row>
    <row r="267" spans="1:6" ht="24" customHeight="1" x14ac:dyDescent="0.25">
      <c r="B267" s="60" t="s">
        <v>11</v>
      </c>
    </row>
    <row r="268" spans="1:6" ht="8.25" customHeight="1" x14ac:dyDescent="0.25"/>
    <row r="269" spans="1:6" ht="31.5" customHeight="1" x14ac:dyDescent="0.25">
      <c r="A269" s="39"/>
      <c r="B269" s="40" t="s">
        <v>156</v>
      </c>
      <c r="C269" s="41"/>
      <c r="D269" s="41"/>
      <c r="E269" s="42" t="s">
        <v>46</v>
      </c>
      <c r="F269" s="43">
        <v>1</v>
      </c>
    </row>
    <row r="270" spans="1:6" s="63" customFormat="1" ht="15" customHeight="1" x14ac:dyDescent="0.25">
      <c r="A270" s="44" t="s">
        <v>47</v>
      </c>
      <c r="B270" s="44" t="s">
        <v>48</v>
      </c>
      <c r="C270" s="44" t="s">
        <v>49</v>
      </c>
      <c r="D270" s="44" t="s">
        <v>50</v>
      </c>
      <c r="E270" s="44" t="s">
        <v>51</v>
      </c>
      <c r="F270" s="44" t="s">
        <v>52</v>
      </c>
    </row>
    <row r="271" spans="1:6" ht="6.75" customHeight="1" x14ac:dyDescent="0.25"/>
    <row r="272" spans="1:6" x14ac:dyDescent="0.25">
      <c r="A272" s="45"/>
      <c r="B272" s="64" t="s">
        <v>157</v>
      </c>
      <c r="C272" s="47">
        <f>1.5/8</f>
        <v>0.1875</v>
      </c>
      <c r="D272" s="48" t="s">
        <v>54</v>
      </c>
      <c r="E272" s="49">
        <v>1898.49</v>
      </c>
      <c r="F272" s="50">
        <f>C272*E272</f>
        <v>355.96687500000002</v>
      </c>
    </row>
    <row r="273" spans="1:6" x14ac:dyDescent="0.25">
      <c r="A273" s="45"/>
      <c r="B273" s="64" t="s">
        <v>55</v>
      </c>
      <c r="C273" s="47">
        <f>C272</f>
        <v>0.1875</v>
      </c>
      <c r="D273" s="48" t="s">
        <v>54</v>
      </c>
      <c r="E273" s="49">
        <v>1024.8699999999999</v>
      </c>
      <c r="F273" s="50">
        <f>C273*E273</f>
        <v>192.16312499999998</v>
      </c>
    </row>
    <row r="274" spans="1:6" x14ac:dyDescent="0.25">
      <c r="A274" s="45"/>
      <c r="B274" s="46" t="s">
        <v>56</v>
      </c>
      <c r="C274" s="47">
        <v>1.4999999999999999E-2</v>
      </c>
      <c r="D274" s="48" t="s">
        <v>10</v>
      </c>
      <c r="E274" s="49">
        <f>SUM(F271:F273)</f>
        <v>548.13</v>
      </c>
      <c r="F274" s="50">
        <f>C274*E274</f>
        <v>8.2219499999999996</v>
      </c>
    </row>
    <row r="275" spans="1:6" x14ac:dyDescent="0.25">
      <c r="A275" s="51"/>
      <c r="B275" s="52"/>
      <c r="C275" s="53"/>
      <c r="D275" s="54"/>
      <c r="E275" s="55"/>
      <c r="F275" s="56"/>
    </row>
    <row r="276" spans="1:6" ht="15.75" x14ac:dyDescent="0.25">
      <c r="A276" s="167"/>
      <c r="B276" s="167"/>
      <c r="C276" s="167"/>
      <c r="D276" s="57" t="s">
        <v>155</v>
      </c>
      <c r="E276" s="58"/>
      <c r="F276" s="59">
        <f>SUM(F272:F275)/F269</f>
        <v>556.35194999999999</v>
      </c>
    </row>
    <row r="278" spans="1:6" ht="31.5" customHeight="1" x14ac:dyDescent="0.25">
      <c r="A278" s="39"/>
      <c r="B278" s="40" t="s">
        <v>158</v>
      </c>
      <c r="C278" s="41"/>
      <c r="D278" s="41"/>
      <c r="E278" s="42" t="s">
        <v>46</v>
      </c>
      <c r="F278" s="43">
        <v>1</v>
      </c>
    </row>
    <row r="279" spans="1:6" s="63" customFormat="1" ht="15" customHeight="1" x14ac:dyDescent="0.25">
      <c r="A279" s="44" t="s">
        <v>47</v>
      </c>
      <c r="B279" s="44" t="s">
        <v>48</v>
      </c>
      <c r="C279" s="44" t="s">
        <v>49</v>
      </c>
      <c r="D279" s="44" t="s">
        <v>50</v>
      </c>
      <c r="E279" s="44" t="s">
        <v>51</v>
      </c>
      <c r="F279" s="44" t="s">
        <v>52</v>
      </c>
    </row>
    <row r="280" spans="1:6" ht="6.75" customHeight="1" x14ac:dyDescent="0.25"/>
    <row r="281" spans="1:6" x14ac:dyDescent="0.25">
      <c r="A281" s="45"/>
      <c r="B281" s="64" t="s">
        <v>159</v>
      </c>
      <c r="C281" s="47">
        <f>1.5/8</f>
        <v>0.1875</v>
      </c>
      <c r="D281" s="48" t="s">
        <v>54</v>
      </c>
      <c r="E281" s="49">
        <v>1898.49</v>
      </c>
      <c r="F281" s="50">
        <f>C281*E281</f>
        <v>355.96687500000002</v>
      </c>
    </row>
    <row r="282" spans="1:6" x14ac:dyDescent="0.25">
      <c r="A282" s="45"/>
      <c r="B282" s="64" t="s">
        <v>55</v>
      </c>
      <c r="C282" s="47">
        <f>C281</f>
        <v>0.1875</v>
      </c>
      <c r="D282" s="48" t="s">
        <v>54</v>
      </c>
      <c r="E282" s="49">
        <v>1024.8699999999999</v>
      </c>
      <c r="F282" s="50">
        <f>C282*E282</f>
        <v>192.16312499999998</v>
      </c>
    </row>
    <row r="283" spans="1:6" x14ac:dyDescent="0.25">
      <c r="A283" s="45"/>
      <c r="B283" s="46" t="s">
        <v>56</v>
      </c>
      <c r="C283" s="47">
        <v>1.4999999999999999E-2</v>
      </c>
      <c r="D283" s="48" t="s">
        <v>10</v>
      </c>
      <c r="E283" s="49">
        <f>SUM(F280:F282)</f>
        <v>548.13</v>
      </c>
      <c r="F283" s="50">
        <f>C283*E283</f>
        <v>8.2219499999999996</v>
      </c>
    </row>
    <row r="284" spans="1:6" x14ac:dyDescent="0.25">
      <c r="A284" s="51"/>
      <c r="B284" s="52"/>
      <c r="C284" s="53"/>
      <c r="D284" s="54"/>
      <c r="E284" s="55"/>
      <c r="F284" s="56"/>
    </row>
    <row r="285" spans="1:6" ht="15.75" x14ac:dyDescent="0.25">
      <c r="A285" s="167"/>
      <c r="B285" s="167"/>
      <c r="C285" s="167"/>
      <c r="D285" s="57" t="s">
        <v>155</v>
      </c>
      <c r="E285" s="58"/>
      <c r="F285" s="59">
        <f>SUM(F281:F284)/F278</f>
        <v>556.35194999999999</v>
      </c>
    </row>
    <row r="287" spans="1:6" ht="31.5" customHeight="1" x14ac:dyDescent="0.25">
      <c r="A287" s="39"/>
      <c r="B287" s="40" t="s">
        <v>160</v>
      </c>
      <c r="C287" s="41"/>
      <c r="D287" s="41"/>
      <c r="E287" s="42" t="s">
        <v>46</v>
      </c>
      <c r="F287" s="43">
        <v>1</v>
      </c>
    </row>
    <row r="288" spans="1:6" s="63" customFormat="1" ht="15" customHeight="1" x14ac:dyDescent="0.25">
      <c r="A288" s="44" t="s">
        <v>47</v>
      </c>
      <c r="B288" s="44" t="s">
        <v>48</v>
      </c>
      <c r="C288" s="44" t="s">
        <v>49</v>
      </c>
      <c r="D288" s="44" t="s">
        <v>50</v>
      </c>
      <c r="E288" s="44" t="s">
        <v>51</v>
      </c>
      <c r="F288" s="44" t="s">
        <v>52</v>
      </c>
    </row>
    <row r="289" spans="1:6" ht="6.75" customHeight="1" x14ac:dyDescent="0.25"/>
    <row r="290" spans="1:6" ht="30" x14ac:dyDescent="0.25">
      <c r="A290" s="45"/>
      <c r="B290" s="64" t="str">
        <f>B287</f>
        <v xml:space="preserve">Suministro y colocación de gabinetes piso bajo meseta en caoba </v>
      </c>
      <c r="C290" s="47">
        <v>1</v>
      </c>
      <c r="D290" s="48" t="s">
        <v>161</v>
      </c>
      <c r="E290" s="49">
        <v>2284</v>
      </c>
      <c r="F290" s="50">
        <f>C290*E290</f>
        <v>2284</v>
      </c>
    </row>
    <row r="291" spans="1:6" x14ac:dyDescent="0.25">
      <c r="A291" s="51"/>
      <c r="B291" s="52"/>
      <c r="C291" s="53"/>
      <c r="D291" s="54"/>
      <c r="E291" s="55"/>
      <c r="F291" s="56"/>
    </row>
    <row r="292" spans="1:6" ht="15.75" x14ac:dyDescent="0.25">
      <c r="A292" s="167"/>
      <c r="B292" s="167"/>
      <c r="C292" s="167"/>
      <c r="D292" s="57" t="s">
        <v>162</v>
      </c>
      <c r="E292" s="58"/>
      <c r="F292" s="59">
        <f>SUM(F290:F291)/F287</f>
        <v>2284</v>
      </c>
    </row>
    <row r="294" spans="1:6" ht="29.25" customHeight="1" x14ac:dyDescent="0.25">
      <c r="A294" s="39"/>
      <c r="B294" s="40" t="s">
        <v>163</v>
      </c>
      <c r="C294" s="41"/>
      <c r="D294" s="41"/>
      <c r="E294" s="42" t="s">
        <v>46</v>
      </c>
      <c r="F294" s="43">
        <v>2.73</v>
      </c>
    </row>
    <row r="295" spans="1:6" s="63" customFormat="1" ht="15" customHeight="1" x14ac:dyDescent="0.25">
      <c r="A295" s="44" t="s">
        <v>47</v>
      </c>
      <c r="B295" s="44" t="s">
        <v>48</v>
      </c>
      <c r="C295" s="44" t="s">
        <v>49</v>
      </c>
      <c r="D295" s="44" t="s">
        <v>50</v>
      </c>
      <c r="E295" s="44" t="s">
        <v>51</v>
      </c>
      <c r="F295" s="44" t="s">
        <v>52</v>
      </c>
    </row>
    <row r="296" spans="1:6" ht="6.75" customHeight="1" x14ac:dyDescent="0.25"/>
    <row r="297" spans="1:6" ht="45" x14ac:dyDescent="0.25">
      <c r="A297" s="45"/>
      <c r="B297" s="64" t="str">
        <f>B294</f>
        <v>Suministro e instalación de tope de granito Galaxy S.N.P.T.= 0.85m y  bash splash de 0.40m de altura</v>
      </c>
      <c r="C297" s="47">
        <v>2.73</v>
      </c>
      <c r="D297" s="48" t="s">
        <v>96</v>
      </c>
      <c r="E297" s="49">
        <v>13973</v>
      </c>
      <c r="F297" s="50">
        <f>C297*E297</f>
        <v>38146.29</v>
      </c>
    </row>
    <row r="298" spans="1:6" x14ac:dyDescent="0.25">
      <c r="A298" s="51"/>
      <c r="B298" s="52"/>
      <c r="C298" s="53"/>
      <c r="D298" s="54"/>
      <c r="E298" s="55"/>
      <c r="F298" s="56"/>
    </row>
    <row r="299" spans="1:6" ht="15.75" x14ac:dyDescent="0.25">
      <c r="A299" s="167"/>
      <c r="B299" s="167"/>
      <c r="C299" s="167"/>
      <c r="D299" s="57" t="s">
        <v>69</v>
      </c>
      <c r="E299" s="58"/>
      <c r="F299" s="59">
        <f>SUM(F297:F298)/F294</f>
        <v>13973</v>
      </c>
    </row>
    <row r="301" spans="1:6" ht="29.25" customHeight="1" x14ac:dyDescent="0.25">
      <c r="A301" s="39"/>
      <c r="B301" s="40" t="s">
        <v>164</v>
      </c>
      <c r="C301" s="41"/>
      <c r="D301" s="41"/>
      <c r="E301" s="42" t="s">
        <v>46</v>
      </c>
      <c r="F301" s="43">
        <v>1</v>
      </c>
    </row>
    <row r="302" spans="1:6" s="63" customFormat="1" ht="15" customHeight="1" x14ac:dyDescent="0.25">
      <c r="A302" s="44" t="s">
        <v>47</v>
      </c>
      <c r="B302" s="44" t="s">
        <v>48</v>
      </c>
      <c r="C302" s="44" t="s">
        <v>49</v>
      </c>
      <c r="D302" s="44" t="s">
        <v>50</v>
      </c>
      <c r="E302" s="44" t="s">
        <v>51</v>
      </c>
      <c r="F302" s="44" t="s">
        <v>52</v>
      </c>
    </row>
    <row r="303" spans="1:6" ht="6.75" customHeight="1" x14ac:dyDescent="0.25"/>
    <row r="304" spans="1:6" x14ac:dyDescent="0.25">
      <c r="A304" s="45"/>
      <c r="B304" s="64" t="s">
        <v>165</v>
      </c>
      <c r="C304" s="47">
        <v>1</v>
      </c>
      <c r="D304" s="48" t="s">
        <v>2</v>
      </c>
      <c r="E304" s="49">
        <v>4650</v>
      </c>
      <c r="F304" s="50">
        <f>C304*E304</f>
        <v>4650</v>
      </c>
    </row>
    <row r="305" spans="1:6" x14ac:dyDescent="0.25">
      <c r="A305" s="45"/>
      <c r="B305" s="64" t="s">
        <v>166</v>
      </c>
      <c r="C305" s="47">
        <v>1</v>
      </c>
      <c r="D305" s="48" t="s">
        <v>2</v>
      </c>
      <c r="E305" s="49">
        <v>1800</v>
      </c>
      <c r="F305" s="50">
        <f>C305*E305</f>
        <v>1800</v>
      </c>
    </row>
    <row r="306" spans="1:6" x14ac:dyDescent="0.25">
      <c r="A306" s="45"/>
      <c r="B306" s="64" t="s">
        <v>167</v>
      </c>
      <c r="C306" s="47">
        <v>1</v>
      </c>
      <c r="D306" s="48" t="s">
        <v>2</v>
      </c>
      <c r="E306" s="49">
        <v>592.47</v>
      </c>
      <c r="F306" s="50">
        <f>C306*E306</f>
        <v>592.47</v>
      </c>
    </row>
    <row r="307" spans="1:6" x14ac:dyDescent="0.25">
      <c r="A307" s="45"/>
      <c r="B307" s="64" t="s">
        <v>85</v>
      </c>
      <c r="C307" s="47">
        <v>1</v>
      </c>
      <c r="D307" s="48" t="s">
        <v>2</v>
      </c>
      <c r="E307" s="49">
        <v>1971.6</v>
      </c>
      <c r="F307" s="50">
        <f>C307*E307</f>
        <v>1971.6</v>
      </c>
    </row>
    <row r="308" spans="1:6" x14ac:dyDescent="0.25">
      <c r="A308" s="51"/>
      <c r="B308" s="52"/>
      <c r="C308" s="53"/>
      <c r="D308" s="54"/>
      <c r="E308" s="55"/>
      <c r="F308" s="56"/>
    </row>
    <row r="309" spans="1:6" ht="15.75" x14ac:dyDescent="0.25">
      <c r="A309" s="167"/>
      <c r="B309" s="167"/>
      <c r="C309" s="167"/>
      <c r="D309" s="57" t="s">
        <v>69</v>
      </c>
      <c r="E309" s="58"/>
      <c r="F309" s="59">
        <f>SUM(F304:F308)/F301</f>
        <v>9014.07</v>
      </c>
    </row>
    <row r="311" spans="1:6" ht="29.25" customHeight="1" x14ac:dyDescent="0.25">
      <c r="A311" s="39"/>
      <c r="B311" s="40" t="s">
        <v>168</v>
      </c>
      <c r="C311" s="41"/>
      <c r="D311" s="41"/>
      <c r="E311" s="42" t="s">
        <v>46</v>
      </c>
      <c r="F311" s="43">
        <v>1</v>
      </c>
    </row>
    <row r="312" spans="1:6" s="63" customFormat="1" ht="15" customHeight="1" x14ac:dyDescent="0.25">
      <c r="A312" s="44" t="s">
        <v>47</v>
      </c>
      <c r="B312" s="44" t="s">
        <v>48</v>
      </c>
      <c r="C312" s="44" t="s">
        <v>49</v>
      </c>
      <c r="D312" s="44" t="s">
        <v>50</v>
      </c>
      <c r="E312" s="44" t="s">
        <v>51</v>
      </c>
      <c r="F312" s="44" t="s">
        <v>52</v>
      </c>
    </row>
    <row r="313" spans="1:6" ht="6.75" customHeight="1" x14ac:dyDescent="0.25"/>
    <row r="314" spans="1:6" x14ac:dyDescent="0.25">
      <c r="A314" s="45"/>
      <c r="B314" s="64" t="s">
        <v>169</v>
      </c>
      <c r="C314" s="47">
        <v>1</v>
      </c>
      <c r="D314" s="48" t="s">
        <v>2</v>
      </c>
      <c r="E314" s="49">
        <v>900</v>
      </c>
      <c r="F314" s="50">
        <f>C314*E314</f>
        <v>900</v>
      </c>
    </row>
    <row r="315" spans="1:6" x14ac:dyDescent="0.25">
      <c r="A315" s="45"/>
      <c r="B315" s="64" t="s">
        <v>170</v>
      </c>
      <c r="C315" s="47">
        <v>1</v>
      </c>
      <c r="D315" s="48" t="s">
        <v>2</v>
      </c>
      <c r="E315" s="49">
        <v>300</v>
      </c>
      <c r="F315" s="50">
        <f>C315*E315</f>
        <v>300</v>
      </c>
    </row>
    <row r="316" spans="1:6" x14ac:dyDescent="0.25">
      <c r="A316" s="45"/>
      <c r="B316" s="64" t="s">
        <v>85</v>
      </c>
      <c r="C316" s="47">
        <v>1</v>
      </c>
      <c r="D316" s="48" t="s">
        <v>2</v>
      </c>
      <c r="E316" s="49">
        <v>719.79</v>
      </c>
      <c r="F316" s="50">
        <f>C316*E316</f>
        <v>719.79</v>
      </c>
    </row>
    <row r="317" spans="1:6" x14ac:dyDescent="0.25">
      <c r="A317" s="51"/>
      <c r="B317" s="52"/>
      <c r="C317" s="53"/>
      <c r="D317" s="54"/>
      <c r="E317" s="55"/>
      <c r="F317" s="56"/>
    </row>
    <row r="318" spans="1:6" ht="15.75" x14ac:dyDescent="0.25">
      <c r="A318" s="167"/>
      <c r="B318" s="167"/>
      <c r="C318" s="167"/>
      <c r="D318" s="57" t="s">
        <v>57</v>
      </c>
      <c r="E318" s="58"/>
      <c r="F318" s="59">
        <f>SUM(F314:F317)/F311</f>
        <v>1919.79</v>
      </c>
    </row>
    <row r="320" spans="1:6" ht="31.5" customHeight="1" x14ac:dyDescent="0.25">
      <c r="A320" s="39"/>
      <c r="B320" s="40" t="s">
        <v>12</v>
      </c>
      <c r="C320" s="41"/>
      <c r="D320" s="41"/>
      <c r="E320" s="42" t="s">
        <v>46</v>
      </c>
      <c r="F320" s="43">
        <v>1</v>
      </c>
    </row>
    <row r="321" spans="1:6" s="63" customFormat="1" ht="15" customHeight="1" x14ac:dyDescent="0.25">
      <c r="A321" s="44" t="s">
        <v>47</v>
      </c>
      <c r="B321" s="44" t="s">
        <v>48</v>
      </c>
      <c r="C321" s="44" t="s">
        <v>49</v>
      </c>
      <c r="D321" s="44" t="s">
        <v>50</v>
      </c>
      <c r="E321" s="44" t="s">
        <v>51</v>
      </c>
      <c r="F321" s="44" t="s">
        <v>52</v>
      </c>
    </row>
    <row r="322" spans="1:6" ht="6.75" customHeight="1" x14ac:dyDescent="0.25"/>
    <row r="323" spans="1:6" x14ac:dyDescent="0.25">
      <c r="A323" s="45"/>
      <c r="B323" s="64" t="s">
        <v>154</v>
      </c>
      <c r="C323" s="47">
        <v>1</v>
      </c>
      <c r="D323" s="48" t="s">
        <v>54</v>
      </c>
      <c r="E323" s="49">
        <f>797.39*2</f>
        <v>1594.78</v>
      </c>
      <c r="F323" s="50">
        <f>C323*E323</f>
        <v>1594.78</v>
      </c>
    </row>
    <row r="324" spans="1:6" x14ac:dyDescent="0.25">
      <c r="A324" s="45"/>
      <c r="B324" s="64" t="s">
        <v>60</v>
      </c>
      <c r="C324" s="47">
        <f>C323*0.2</f>
        <v>0.2</v>
      </c>
      <c r="D324" s="48" t="s">
        <v>54</v>
      </c>
      <c r="E324" s="49">
        <v>1898.49</v>
      </c>
      <c r="F324" s="50">
        <f>C324*E324</f>
        <v>379.69800000000004</v>
      </c>
    </row>
    <row r="325" spans="1:6" x14ac:dyDescent="0.25">
      <c r="A325" s="45"/>
      <c r="B325" s="64" t="s">
        <v>171</v>
      </c>
      <c r="C325" s="47">
        <v>1</v>
      </c>
      <c r="D325" s="48" t="s">
        <v>2</v>
      </c>
      <c r="E325" s="49">
        <v>2500</v>
      </c>
      <c r="F325" s="50">
        <f>C325*E325</f>
        <v>2500</v>
      </c>
    </row>
    <row r="326" spans="1:6" x14ac:dyDescent="0.25">
      <c r="A326" s="45"/>
      <c r="B326" s="46" t="s">
        <v>56</v>
      </c>
      <c r="C326" s="47">
        <v>1.4999999999999999E-2</v>
      </c>
      <c r="D326" s="48" t="s">
        <v>10</v>
      </c>
      <c r="E326" s="49">
        <f>SUM(F322:F324)</f>
        <v>1974.4780000000001</v>
      </c>
      <c r="F326" s="50">
        <f>C326*E326</f>
        <v>29.617170000000002</v>
      </c>
    </row>
    <row r="327" spans="1:6" x14ac:dyDescent="0.25">
      <c r="A327" s="51"/>
      <c r="B327" s="52"/>
      <c r="C327" s="53"/>
      <c r="D327" s="54"/>
      <c r="E327" s="55"/>
      <c r="F327" s="56"/>
    </row>
    <row r="328" spans="1:6" ht="15.75" x14ac:dyDescent="0.25">
      <c r="A328" s="167"/>
      <c r="B328" s="167"/>
      <c r="C328" s="167"/>
      <c r="D328" s="57" t="s">
        <v>155</v>
      </c>
      <c r="E328" s="58"/>
      <c r="F328" s="59">
        <f>SUM(F323:F327)/F320</f>
        <v>4504.0951700000005</v>
      </c>
    </row>
    <row r="330" spans="1:6" ht="24" customHeight="1" x14ac:dyDescent="0.25">
      <c r="B330" s="60" t="s">
        <v>172</v>
      </c>
    </row>
    <row r="331" spans="1:6" ht="10.5" customHeight="1" x14ac:dyDescent="0.25"/>
    <row r="332" spans="1:6" ht="27.75" customHeight="1" x14ac:dyDescent="0.25">
      <c r="A332" s="39"/>
      <c r="B332" s="40" t="s">
        <v>58</v>
      </c>
      <c r="C332" s="41"/>
      <c r="D332" s="41"/>
      <c r="E332" s="42" t="s">
        <v>46</v>
      </c>
      <c r="F332" s="43">
        <v>6</v>
      </c>
    </row>
    <row r="333" spans="1:6" s="63" customFormat="1" x14ac:dyDescent="0.25">
      <c r="A333" s="44" t="s">
        <v>47</v>
      </c>
      <c r="B333" s="44" t="s">
        <v>48</v>
      </c>
      <c r="C333" s="44" t="s">
        <v>49</v>
      </c>
      <c r="D333" s="44" t="s">
        <v>50</v>
      </c>
      <c r="E333" s="44" t="s">
        <v>51</v>
      </c>
      <c r="F333" s="44" t="s">
        <v>52</v>
      </c>
    </row>
    <row r="334" spans="1:6" ht="6.75" customHeight="1" x14ac:dyDescent="0.25"/>
    <row r="335" spans="1:6" x14ac:dyDescent="0.25">
      <c r="A335" s="45"/>
      <c r="B335" s="46" t="s">
        <v>53</v>
      </c>
      <c r="C335" s="47">
        <v>1.1000000000000001</v>
      </c>
      <c r="D335" s="48" t="s">
        <v>54</v>
      </c>
      <c r="E335" s="49">
        <v>1898.49</v>
      </c>
      <c r="F335" s="50">
        <f>C335*E335</f>
        <v>2088.3390000000004</v>
      </c>
    </row>
    <row r="336" spans="1:6" x14ac:dyDescent="0.25">
      <c r="A336" s="45"/>
      <c r="B336" s="46" t="s">
        <v>55</v>
      </c>
      <c r="C336" s="47">
        <v>1.1000000000000001</v>
      </c>
      <c r="D336" s="48" t="s">
        <v>54</v>
      </c>
      <c r="E336" s="49">
        <v>1024.8699999999999</v>
      </c>
      <c r="F336" s="50">
        <f>C336*E336</f>
        <v>1127.357</v>
      </c>
    </row>
    <row r="337" spans="1:6" x14ac:dyDescent="0.25">
      <c r="A337" s="45"/>
      <c r="B337" s="46" t="s">
        <v>56</v>
      </c>
      <c r="C337" s="47">
        <v>1.4999999999999999E-2</v>
      </c>
      <c r="D337" s="48" t="s">
        <v>10</v>
      </c>
      <c r="E337" s="49">
        <f>SUM(F334:F336)</f>
        <v>3215.6960000000004</v>
      </c>
      <c r="F337" s="50">
        <f>C337*E337</f>
        <v>48.235440000000004</v>
      </c>
    </row>
    <row r="338" spans="1:6" x14ac:dyDescent="0.25">
      <c r="A338" s="51"/>
      <c r="B338" s="52"/>
      <c r="C338" s="53"/>
      <c r="D338" s="54"/>
      <c r="E338" s="55"/>
      <c r="F338" s="56"/>
    </row>
    <row r="339" spans="1:6" ht="15.75" x14ac:dyDescent="0.25">
      <c r="A339" s="167"/>
      <c r="B339" s="167"/>
      <c r="C339" s="167"/>
      <c r="D339" s="57" t="s">
        <v>57</v>
      </c>
      <c r="E339" s="58"/>
      <c r="F339" s="59">
        <f>SUM(F335:F338)/F332</f>
        <v>543.98857333333342</v>
      </c>
    </row>
    <row r="340" spans="1:6" ht="15.75" x14ac:dyDescent="0.25">
      <c r="A340" s="68"/>
      <c r="B340" s="68"/>
      <c r="C340" s="68"/>
      <c r="D340" s="68"/>
      <c r="F340" s="69"/>
    </row>
    <row r="341" spans="1:6" ht="24" x14ac:dyDescent="0.25">
      <c r="A341" s="33">
        <f>+A340+0.01</f>
        <v>0.01</v>
      </c>
      <c r="B341" s="70" t="s">
        <v>173</v>
      </c>
      <c r="C341" s="20">
        <v>1</v>
      </c>
      <c r="D341" s="20" t="s">
        <v>2</v>
      </c>
      <c r="E341" s="21"/>
      <c r="F341" s="21">
        <f>F357</f>
        <v>1590.92</v>
      </c>
    </row>
    <row r="342" spans="1:6" x14ac:dyDescent="0.25">
      <c r="A342" s="34"/>
      <c r="B342" s="23" t="s">
        <v>174</v>
      </c>
      <c r="C342" s="24"/>
      <c r="D342" s="24"/>
      <c r="E342" s="25"/>
      <c r="F342" s="25"/>
    </row>
    <row r="343" spans="1:6" x14ac:dyDescent="0.25">
      <c r="A343" s="34"/>
      <c r="B343" s="23" t="s">
        <v>74</v>
      </c>
      <c r="C343" s="27"/>
      <c r="D343" s="27"/>
      <c r="E343" s="25"/>
      <c r="F343" s="25"/>
    </row>
    <row r="344" spans="1:6" x14ac:dyDescent="0.25">
      <c r="A344" s="35"/>
      <c r="B344" s="71" t="s">
        <v>175</v>
      </c>
      <c r="C344" s="27">
        <v>4</v>
      </c>
      <c r="D344" s="27" t="s">
        <v>83</v>
      </c>
      <c r="E344" s="31">
        <v>55</v>
      </c>
      <c r="F344" s="31">
        <f t="shared" ref="F344:F349" si="6">ROUND((C344*(E344)),2)</f>
        <v>220</v>
      </c>
    </row>
    <row r="345" spans="1:6" x14ac:dyDescent="0.25">
      <c r="A345" s="35"/>
      <c r="B345" s="71" t="s">
        <v>176</v>
      </c>
      <c r="C345" s="72">
        <v>2.46E-2</v>
      </c>
      <c r="D345" s="27" t="s">
        <v>76</v>
      </c>
      <c r="E345" s="31">
        <v>6161.22</v>
      </c>
      <c r="F345" s="31">
        <f t="shared" si="6"/>
        <v>151.57</v>
      </c>
    </row>
    <row r="346" spans="1:6" x14ac:dyDescent="0.25">
      <c r="A346" s="35"/>
      <c r="B346" s="71" t="s">
        <v>177</v>
      </c>
      <c r="C346" s="72">
        <v>2.4E-2</v>
      </c>
      <c r="D346" s="27" t="s">
        <v>76</v>
      </c>
      <c r="E346" s="31">
        <f>5921.43*1.18</f>
        <v>6987.2874000000002</v>
      </c>
      <c r="F346" s="31">
        <f t="shared" si="6"/>
        <v>167.69</v>
      </c>
    </row>
    <row r="347" spans="1:6" x14ac:dyDescent="0.25">
      <c r="A347" s="35"/>
      <c r="B347" s="73" t="s">
        <v>178</v>
      </c>
      <c r="C347" s="72">
        <v>1.353E-2</v>
      </c>
      <c r="D347" s="27" t="s">
        <v>179</v>
      </c>
      <c r="E347" s="31">
        <v>4100</v>
      </c>
      <c r="F347" s="31">
        <f t="shared" si="6"/>
        <v>55.47</v>
      </c>
    </row>
    <row r="348" spans="1:6" x14ac:dyDescent="0.25">
      <c r="A348" s="35"/>
      <c r="B348" s="73" t="s">
        <v>180</v>
      </c>
      <c r="C348" s="72">
        <f>C347*2</f>
        <v>2.7060000000000001E-2</v>
      </c>
      <c r="D348" s="27" t="s">
        <v>81</v>
      </c>
      <c r="E348" s="31">
        <v>110</v>
      </c>
      <c r="F348" s="31">
        <f t="shared" si="6"/>
        <v>2.98</v>
      </c>
    </row>
    <row r="349" spans="1:6" x14ac:dyDescent="0.25">
      <c r="A349" s="34"/>
      <c r="B349" s="15" t="s">
        <v>181</v>
      </c>
      <c r="C349" s="27">
        <v>0.4</v>
      </c>
      <c r="D349" s="27" t="s">
        <v>96</v>
      </c>
      <c r="E349" s="31">
        <v>387</v>
      </c>
      <c r="F349" s="31">
        <f t="shared" si="6"/>
        <v>154.80000000000001</v>
      </c>
    </row>
    <row r="350" spans="1:6" x14ac:dyDescent="0.25">
      <c r="A350" s="34"/>
      <c r="B350" s="15" t="s">
        <v>182</v>
      </c>
      <c r="C350" s="27">
        <v>2</v>
      </c>
      <c r="D350" s="27" t="s">
        <v>19</v>
      </c>
      <c r="E350" s="31">
        <v>194.8</v>
      </c>
      <c r="F350" s="31">
        <f>C350*E350</f>
        <v>389.6</v>
      </c>
    </row>
    <row r="351" spans="1:6" x14ac:dyDescent="0.25">
      <c r="A351" s="34"/>
      <c r="B351" s="15" t="s">
        <v>183</v>
      </c>
      <c r="C351" s="27">
        <v>1</v>
      </c>
      <c r="D351" s="27" t="s">
        <v>19</v>
      </c>
      <c r="E351" s="31">
        <v>203.25</v>
      </c>
      <c r="F351" s="31">
        <f>C351*E351</f>
        <v>203.25</v>
      </c>
    </row>
    <row r="352" spans="1:6" x14ac:dyDescent="0.25">
      <c r="A352" s="34"/>
      <c r="B352" s="15" t="s">
        <v>184</v>
      </c>
      <c r="C352" s="27">
        <v>0.6</v>
      </c>
      <c r="D352" s="27" t="s">
        <v>96</v>
      </c>
      <c r="E352" s="31">
        <v>220</v>
      </c>
      <c r="F352" s="31">
        <f>C352*E352</f>
        <v>132</v>
      </c>
    </row>
    <row r="353" spans="1:9" x14ac:dyDescent="0.25">
      <c r="A353" s="34"/>
      <c r="B353" s="15"/>
      <c r="C353" s="27"/>
      <c r="D353" s="27"/>
      <c r="E353" s="31"/>
      <c r="F353" s="31"/>
    </row>
    <row r="354" spans="1:9" x14ac:dyDescent="0.25">
      <c r="A354" s="34"/>
      <c r="B354" s="23" t="s">
        <v>185</v>
      </c>
      <c r="C354" s="27"/>
      <c r="D354" s="27"/>
      <c r="E354" s="25"/>
      <c r="F354" s="31"/>
    </row>
    <row r="355" spans="1:9" x14ac:dyDescent="0.25">
      <c r="A355" s="34"/>
      <c r="B355" s="15" t="s">
        <v>186</v>
      </c>
      <c r="C355" s="27">
        <v>4</v>
      </c>
      <c r="D355" s="27" t="s">
        <v>83</v>
      </c>
      <c r="E355" s="31">
        <v>28.39</v>
      </c>
      <c r="F355" s="31">
        <f>ROUND((C355*(E355)),2)</f>
        <v>113.56</v>
      </c>
    </row>
    <row r="357" spans="1:9" x14ac:dyDescent="0.25">
      <c r="A357" s="16"/>
      <c r="B357" s="28" t="s">
        <v>87</v>
      </c>
      <c r="C357" s="27"/>
      <c r="D357" s="27"/>
      <c r="E357" s="31"/>
      <c r="F357" s="31">
        <f>SUM(F344:F355)</f>
        <v>1590.92</v>
      </c>
    </row>
    <row r="358" spans="1:9" ht="15.75" x14ac:dyDescent="0.25">
      <c r="A358" s="68"/>
      <c r="B358" s="68"/>
      <c r="C358" s="68"/>
      <c r="D358" s="68"/>
      <c r="F358" s="69"/>
    </row>
    <row r="359" spans="1:9" x14ac:dyDescent="0.25">
      <c r="A359" s="33" t="e">
        <f>+#REF!+0.01</f>
        <v>#REF!</v>
      </c>
      <c r="B359" s="19" t="s">
        <v>187</v>
      </c>
      <c r="C359" s="20">
        <v>1</v>
      </c>
      <c r="D359" s="20" t="s">
        <v>71</v>
      </c>
      <c r="E359" s="21"/>
      <c r="F359" s="21">
        <f>F375/C361</f>
        <v>2673.6562499999995</v>
      </c>
    </row>
    <row r="360" spans="1:9" x14ac:dyDescent="0.25">
      <c r="A360" s="34"/>
      <c r="B360" s="23" t="s">
        <v>174</v>
      </c>
      <c r="C360" s="24"/>
      <c r="D360" s="24"/>
      <c r="E360" s="25"/>
      <c r="F360" s="25"/>
      <c r="G360" s="25"/>
      <c r="H360" s="25"/>
      <c r="I360" s="26"/>
    </row>
    <row r="361" spans="1:9" x14ac:dyDescent="0.25">
      <c r="A361" s="34"/>
      <c r="B361" s="23" t="s">
        <v>73</v>
      </c>
      <c r="C361" s="27">
        <v>35.840000000000003</v>
      </c>
      <c r="D361" s="27" t="s">
        <v>71</v>
      </c>
      <c r="E361" s="25"/>
      <c r="F361" s="25"/>
      <c r="G361" s="25"/>
      <c r="H361" s="25"/>
      <c r="I361" s="26"/>
    </row>
    <row r="362" spans="1:9" x14ac:dyDescent="0.25">
      <c r="A362" s="34"/>
      <c r="B362" s="23" t="s">
        <v>74</v>
      </c>
      <c r="C362" s="27"/>
      <c r="D362" s="27"/>
      <c r="E362" s="25"/>
      <c r="F362" s="25"/>
      <c r="G362" s="25"/>
      <c r="H362" s="25"/>
      <c r="I362" s="26"/>
    </row>
    <row r="363" spans="1:9" x14ac:dyDescent="0.25">
      <c r="A363" s="35"/>
      <c r="B363" s="32" t="s">
        <v>188</v>
      </c>
      <c r="C363" s="27">
        <f>25*2</f>
        <v>50</v>
      </c>
      <c r="D363" s="30" t="s">
        <v>83</v>
      </c>
      <c r="E363" s="65">
        <v>686.06</v>
      </c>
      <c r="F363" s="31">
        <f>ROUND((C363*(E363)),2)</f>
        <v>34303</v>
      </c>
    </row>
    <row r="364" spans="1:9" x14ac:dyDescent="0.25">
      <c r="A364" s="35"/>
      <c r="B364" s="32" t="s">
        <v>189</v>
      </c>
      <c r="C364" s="27">
        <f>39*2</f>
        <v>78</v>
      </c>
      <c r="D364" s="30" t="s">
        <v>83</v>
      </c>
      <c r="E364" s="65">
        <v>243.97</v>
      </c>
      <c r="F364" s="31">
        <f t="shared" ref="F364:F374" si="7">ROUND((C364*(E364)),2)</f>
        <v>19029.66</v>
      </c>
    </row>
    <row r="365" spans="1:9" x14ac:dyDescent="0.25">
      <c r="A365" s="35"/>
      <c r="B365" s="32" t="s">
        <v>190</v>
      </c>
      <c r="C365" s="27">
        <f>13*2</f>
        <v>26</v>
      </c>
      <c r="D365" s="30" t="s">
        <v>83</v>
      </c>
      <c r="E365" s="65">
        <v>179.99</v>
      </c>
      <c r="F365" s="31">
        <f t="shared" si="7"/>
        <v>4679.74</v>
      </c>
    </row>
    <row r="366" spans="1:9" x14ac:dyDescent="0.25">
      <c r="A366" s="35"/>
      <c r="B366" s="32" t="s">
        <v>191</v>
      </c>
      <c r="C366" s="27">
        <v>4</v>
      </c>
      <c r="D366" s="30" t="s">
        <v>83</v>
      </c>
      <c r="E366" s="65">
        <v>158.66999999999999</v>
      </c>
      <c r="F366" s="31">
        <f t="shared" si="7"/>
        <v>634.67999999999995</v>
      </c>
    </row>
    <row r="367" spans="1:9" x14ac:dyDescent="0.25">
      <c r="A367" s="35"/>
      <c r="B367" s="32" t="s">
        <v>192</v>
      </c>
      <c r="C367" s="27">
        <v>8</v>
      </c>
      <c r="D367" s="30" t="s">
        <v>83</v>
      </c>
      <c r="E367" s="65">
        <v>1515.72</v>
      </c>
      <c r="F367" s="31">
        <f t="shared" si="7"/>
        <v>12125.76</v>
      </c>
    </row>
    <row r="368" spans="1:9" x14ac:dyDescent="0.25">
      <c r="A368" s="35"/>
      <c r="B368" s="14" t="s">
        <v>193</v>
      </c>
      <c r="C368" s="27">
        <v>2</v>
      </c>
      <c r="D368" s="30" t="s">
        <v>83</v>
      </c>
      <c r="E368" s="65">
        <v>446.84000000000003</v>
      </c>
      <c r="F368" s="31">
        <f t="shared" si="7"/>
        <v>893.68</v>
      </c>
    </row>
    <row r="369" spans="1:9" x14ac:dyDescent="0.25">
      <c r="A369" s="35"/>
      <c r="B369" s="14" t="s">
        <v>194</v>
      </c>
      <c r="C369" s="27">
        <v>2</v>
      </c>
      <c r="D369" s="30" t="s">
        <v>83</v>
      </c>
      <c r="E369" s="65">
        <v>734.21</v>
      </c>
      <c r="F369" s="31">
        <f t="shared" si="7"/>
        <v>1468.42</v>
      </c>
    </row>
    <row r="370" spans="1:9" x14ac:dyDescent="0.25">
      <c r="A370" s="35"/>
      <c r="B370" s="32" t="s">
        <v>195</v>
      </c>
      <c r="C370" s="27">
        <v>6</v>
      </c>
      <c r="D370" s="30" t="s">
        <v>81</v>
      </c>
      <c r="E370" s="65">
        <v>184</v>
      </c>
      <c r="F370" s="31">
        <f t="shared" si="7"/>
        <v>1104</v>
      </c>
    </row>
    <row r="371" spans="1:9" x14ac:dyDescent="0.25">
      <c r="A371" s="35"/>
      <c r="B371" s="32" t="s">
        <v>196</v>
      </c>
      <c r="C371" s="27">
        <v>4</v>
      </c>
      <c r="D371" s="30" t="s">
        <v>81</v>
      </c>
      <c r="E371" s="65">
        <v>207</v>
      </c>
      <c r="F371" s="31">
        <f t="shared" si="7"/>
        <v>828</v>
      </c>
    </row>
    <row r="372" spans="1:9" x14ac:dyDescent="0.25">
      <c r="A372" s="35"/>
      <c r="B372" s="32" t="s">
        <v>197</v>
      </c>
      <c r="C372" s="27">
        <v>30</v>
      </c>
      <c r="D372" s="30" t="s">
        <v>83</v>
      </c>
      <c r="E372" s="65">
        <v>115.26</v>
      </c>
      <c r="F372" s="31">
        <f t="shared" si="7"/>
        <v>3457.8</v>
      </c>
    </row>
    <row r="373" spans="1:9" x14ac:dyDescent="0.25">
      <c r="A373" s="34"/>
      <c r="B373" s="23" t="s">
        <v>185</v>
      </c>
      <c r="C373" s="27"/>
      <c r="D373" s="27"/>
      <c r="E373" s="25"/>
      <c r="F373" s="31"/>
      <c r="G373" s="25"/>
      <c r="H373" s="25"/>
      <c r="I373" s="26"/>
    </row>
    <row r="374" spans="1:9" x14ac:dyDescent="0.25">
      <c r="A374" s="34"/>
      <c r="B374" s="15" t="s">
        <v>198</v>
      </c>
      <c r="C374" s="27">
        <v>70</v>
      </c>
      <c r="D374" s="27" t="s">
        <v>71</v>
      </c>
      <c r="E374" s="31">
        <v>247.13</v>
      </c>
      <c r="F374" s="31">
        <f t="shared" si="7"/>
        <v>17299.099999999999</v>
      </c>
      <c r="G374" s="31"/>
      <c r="H374" s="31"/>
      <c r="I374" s="26"/>
    </row>
    <row r="375" spans="1:9" x14ac:dyDescent="0.25">
      <c r="A375" s="16"/>
      <c r="B375" s="28" t="s">
        <v>87</v>
      </c>
      <c r="C375" s="27"/>
      <c r="D375" s="27"/>
      <c r="E375" s="31"/>
      <c r="F375" s="31">
        <f>SUM(F363:F374)</f>
        <v>95823.84</v>
      </c>
      <c r="G375" s="31"/>
      <c r="H375" s="31"/>
      <c r="I375" s="31"/>
    </row>
    <row r="377" spans="1:9" ht="45" customHeight="1" x14ac:dyDescent="0.25">
      <c r="A377" s="39"/>
      <c r="B377" s="40" t="s">
        <v>199</v>
      </c>
      <c r="C377" s="41"/>
      <c r="D377" s="41"/>
      <c r="E377" s="42" t="s">
        <v>46</v>
      </c>
      <c r="F377" s="43">
        <v>1</v>
      </c>
    </row>
    <row r="378" spans="1:9" s="63" customFormat="1" x14ac:dyDescent="0.25">
      <c r="A378" s="44" t="s">
        <v>47</v>
      </c>
      <c r="B378" s="44" t="s">
        <v>48</v>
      </c>
      <c r="C378" s="44" t="s">
        <v>49</v>
      </c>
      <c r="D378" s="44" t="s">
        <v>50</v>
      </c>
      <c r="E378" s="44" t="s">
        <v>51</v>
      </c>
      <c r="F378" s="44" t="s">
        <v>52</v>
      </c>
    </row>
    <row r="379" spans="1:9" ht="6.75" customHeight="1" x14ac:dyDescent="0.25"/>
    <row r="380" spans="1:9" x14ac:dyDescent="0.25">
      <c r="A380" s="45"/>
      <c r="B380" s="46" t="s">
        <v>200</v>
      </c>
      <c r="C380" s="47">
        <v>5</v>
      </c>
      <c r="D380" s="48" t="s">
        <v>2</v>
      </c>
      <c r="E380" s="49">
        <v>2500</v>
      </c>
      <c r="F380" s="50">
        <f t="shared" ref="F380:F386" si="8">C380*E380</f>
        <v>12500</v>
      </c>
    </row>
    <row r="381" spans="1:9" x14ac:dyDescent="0.25">
      <c r="A381" s="45"/>
      <c r="B381" s="46" t="s">
        <v>201</v>
      </c>
      <c r="C381" s="47">
        <v>1</v>
      </c>
      <c r="D381" s="48" t="s">
        <v>202</v>
      </c>
      <c r="E381" s="49">
        <v>900</v>
      </c>
      <c r="F381" s="50">
        <f t="shared" si="8"/>
        <v>900</v>
      </c>
    </row>
    <row r="382" spans="1:9" x14ac:dyDescent="0.25">
      <c r="A382" s="45"/>
      <c r="B382" s="46" t="s">
        <v>203</v>
      </c>
      <c r="C382" s="47">
        <v>2</v>
      </c>
      <c r="D382" s="48" t="s">
        <v>204</v>
      </c>
      <c r="E382" s="49">
        <v>1630</v>
      </c>
      <c r="F382" s="50">
        <f t="shared" si="8"/>
        <v>3260</v>
      </c>
    </row>
    <row r="383" spans="1:9" x14ac:dyDescent="0.25">
      <c r="A383" s="45"/>
      <c r="B383" s="46" t="s">
        <v>205</v>
      </c>
      <c r="C383" s="47">
        <v>1</v>
      </c>
      <c r="D383" s="48" t="s">
        <v>204</v>
      </c>
      <c r="E383" s="49">
        <v>1774</v>
      </c>
      <c r="F383" s="50">
        <f t="shared" si="8"/>
        <v>1774</v>
      </c>
    </row>
    <row r="384" spans="1:9" x14ac:dyDescent="0.25">
      <c r="A384" s="45"/>
      <c r="B384" s="46" t="s">
        <v>131</v>
      </c>
      <c r="C384" s="47">
        <v>1</v>
      </c>
      <c r="D384" s="48" t="s">
        <v>202</v>
      </c>
      <c r="E384" s="49">
        <v>1600</v>
      </c>
      <c r="F384" s="50">
        <f t="shared" si="8"/>
        <v>1600</v>
      </c>
    </row>
    <row r="385" spans="1:6" x14ac:dyDescent="0.25">
      <c r="A385" s="45"/>
      <c r="B385" s="46" t="s">
        <v>85</v>
      </c>
      <c r="C385" s="47">
        <v>1</v>
      </c>
      <c r="D385" s="48" t="s">
        <v>2</v>
      </c>
      <c r="E385" s="49">
        <v>3600</v>
      </c>
      <c r="F385" s="50">
        <f t="shared" si="8"/>
        <v>3600</v>
      </c>
    </row>
    <row r="386" spans="1:6" x14ac:dyDescent="0.25">
      <c r="A386" s="45"/>
      <c r="B386" s="46" t="s">
        <v>56</v>
      </c>
      <c r="C386" s="47">
        <v>1.4999999999999999E-2</v>
      </c>
      <c r="D386" s="48" t="s">
        <v>10</v>
      </c>
      <c r="E386" s="49">
        <f>SUM(F379:F385)</f>
        <v>23634</v>
      </c>
      <c r="F386" s="50">
        <f t="shared" si="8"/>
        <v>354.51</v>
      </c>
    </row>
    <row r="387" spans="1:6" x14ac:dyDescent="0.25">
      <c r="A387" s="51"/>
      <c r="B387" s="52"/>
      <c r="C387" s="53"/>
      <c r="D387" s="54"/>
      <c r="E387" s="55"/>
      <c r="F387" s="56"/>
    </row>
    <row r="388" spans="1:6" ht="15.75" x14ac:dyDescent="0.25">
      <c r="A388" s="167"/>
      <c r="B388" s="167"/>
      <c r="C388" s="167"/>
      <c r="D388" s="57" t="s">
        <v>57</v>
      </c>
      <c r="E388" s="58"/>
      <c r="F388" s="59">
        <f>SUM(F380:F387)/F377</f>
        <v>23988.51</v>
      </c>
    </row>
    <row r="390" spans="1:6" ht="33" customHeight="1" x14ac:dyDescent="0.25">
      <c r="A390" s="39"/>
      <c r="B390" s="40" t="s">
        <v>206</v>
      </c>
      <c r="C390" s="41"/>
      <c r="D390" s="41"/>
      <c r="E390" s="42" t="s">
        <v>46</v>
      </c>
      <c r="F390" s="43">
        <v>7</v>
      </c>
    </row>
    <row r="391" spans="1:6" s="63" customFormat="1" x14ac:dyDescent="0.25">
      <c r="A391" s="44" t="s">
        <v>47</v>
      </c>
      <c r="B391" s="44" t="s">
        <v>48</v>
      </c>
      <c r="C391" s="44" t="s">
        <v>49</v>
      </c>
      <c r="D391" s="44" t="s">
        <v>50</v>
      </c>
      <c r="E391" s="44" t="s">
        <v>51</v>
      </c>
      <c r="F391" s="44" t="s">
        <v>52</v>
      </c>
    </row>
    <row r="392" spans="1:6" ht="6.75" customHeight="1" x14ac:dyDescent="0.25"/>
    <row r="393" spans="1:6" x14ac:dyDescent="0.25">
      <c r="A393" s="45"/>
      <c r="B393" s="46" t="s">
        <v>203</v>
      </c>
      <c r="C393" s="47">
        <v>3</v>
      </c>
      <c r="D393" s="48" t="s">
        <v>204</v>
      </c>
      <c r="E393" s="49">
        <v>1630</v>
      </c>
      <c r="F393" s="50">
        <f>C393*E393</f>
        <v>4890</v>
      </c>
    </row>
    <row r="394" spans="1:6" x14ac:dyDescent="0.25">
      <c r="A394" s="45"/>
      <c r="B394" s="46" t="s">
        <v>205</v>
      </c>
      <c r="C394" s="47">
        <v>4</v>
      </c>
      <c r="D394" s="48" t="s">
        <v>204</v>
      </c>
      <c r="E394" s="49">
        <v>1774</v>
      </c>
      <c r="F394" s="50">
        <f>C394*E394</f>
        <v>7096</v>
      </c>
    </row>
    <row r="395" spans="1:6" x14ac:dyDescent="0.25">
      <c r="A395" s="45"/>
      <c r="B395" s="46" t="s">
        <v>131</v>
      </c>
      <c r="C395" s="47">
        <v>1</v>
      </c>
      <c r="D395" s="48" t="s">
        <v>202</v>
      </c>
      <c r="E395" s="49">
        <v>2600</v>
      </c>
      <c r="F395" s="50">
        <f>C395*E395</f>
        <v>2600</v>
      </c>
    </row>
    <row r="396" spans="1:6" x14ac:dyDescent="0.25">
      <c r="A396" s="45"/>
      <c r="B396" s="46" t="s">
        <v>85</v>
      </c>
      <c r="C396" s="47">
        <v>7</v>
      </c>
      <c r="D396" s="48" t="s">
        <v>2</v>
      </c>
      <c r="E396" s="49">
        <v>1300</v>
      </c>
      <c r="F396" s="50">
        <f>C396*E396</f>
        <v>9100</v>
      </c>
    </row>
    <row r="397" spans="1:6" x14ac:dyDescent="0.25">
      <c r="A397" s="45"/>
      <c r="B397" s="46" t="s">
        <v>56</v>
      </c>
      <c r="C397" s="47">
        <v>1.4999999999999999E-2</v>
      </c>
      <c r="D397" s="48" t="s">
        <v>10</v>
      </c>
      <c r="E397" s="49">
        <f>SUM(F392:F396)</f>
        <v>23686</v>
      </c>
      <c r="F397" s="50">
        <f>C397*E397</f>
        <v>355.28999999999996</v>
      </c>
    </row>
    <row r="398" spans="1:6" x14ac:dyDescent="0.25">
      <c r="A398" s="51"/>
      <c r="B398" s="52"/>
      <c r="C398" s="53"/>
      <c r="D398" s="54"/>
      <c r="E398" s="55"/>
      <c r="F398" s="56"/>
    </row>
    <row r="399" spans="1:6" ht="15.75" x14ac:dyDescent="0.25">
      <c r="A399" s="167"/>
      <c r="B399" s="167"/>
      <c r="C399" s="167"/>
      <c r="D399" s="57" t="s">
        <v>57</v>
      </c>
      <c r="E399" s="58"/>
      <c r="F399" s="59">
        <f>SUM(F393:F398)/F390</f>
        <v>3434.4700000000003</v>
      </c>
    </row>
    <row r="401" spans="1:6" ht="33" customHeight="1" x14ac:dyDescent="0.25">
      <c r="A401" s="39"/>
      <c r="B401" s="40" t="s">
        <v>207</v>
      </c>
      <c r="C401" s="41"/>
      <c r="D401" s="41"/>
      <c r="E401" s="42" t="s">
        <v>46</v>
      </c>
      <c r="F401" s="43">
        <v>4</v>
      </c>
    </row>
    <row r="402" spans="1:6" s="63" customFormat="1" x14ac:dyDescent="0.25">
      <c r="A402" s="44" t="s">
        <v>47</v>
      </c>
      <c r="B402" s="44" t="s">
        <v>48</v>
      </c>
      <c r="C402" s="44" t="s">
        <v>49</v>
      </c>
      <c r="D402" s="44" t="s">
        <v>50</v>
      </c>
      <c r="E402" s="44" t="s">
        <v>51</v>
      </c>
      <c r="F402" s="44" t="s">
        <v>52</v>
      </c>
    </row>
    <row r="403" spans="1:6" ht="6.75" customHeight="1" x14ac:dyDescent="0.25"/>
    <row r="404" spans="1:6" x14ac:dyDescent="0.25">
      <c r="A404" s="45"/>
      <c r="B404" s="46" t="s">
        <v>203</v>
      </c>
      <c r="C404" s="47">
        <v>1</v>
      </c>
      <c r="D404" s="48" t="s">
        <v>204</v>
      </c>
      <c r="E404" s="49">
        <v>1630</v>
      </c>
      <c r="F404" s="50">
        <f>C404*E404</f>
        <v>1630</v>
      </c>
    </row>
    <row r="405" spans="1:6" x14ac:dyDescent="0.25">
      <c r="A405" s="45"/>
      <c r="B405" s="46" t="s">
        <v>205</v>
      </c>
      <c r="C405" s="47">
        <v>2</v>
      </c>
      <c r="D405" s="48" t="s">
        <v>204</v>
      </c>
      <c r="E405" s="49">
        <v>1774</v>
      </c>
      <c r="F405" s="50">
        <f>C405*E405</f>
        <v>3548</v>
      </c>
    </row>
    <row r="406" spans="1:6" x14ac:dyDescent="0.25">
      <c r="A406" s="45"/>
      <c r="B406" s="46" t="s">
        <v>131</v>
      </c>
      <c r="C406" s="47">
        <v>1</v>
      </c>
      <c r="D406" s="48" t="s">
        <v>202</v>
      </c>
      <c r="E406" s="49">
        <v>1100</v>
      </c>
      <c r="F406" s="50">
        <f>C406*E406</f>
        <v>1100</v>
      </c>
    </row>
    <row r="407" spans="1:6" x14ac:dyDescent="0.25">
      <c r="A407" s="45"/>
      <c r="B407" s="46" t="s">
        <v>85</v>
      </c>
      <c r="C407" s="47">
        <v>4</v>
      </c>
      <c r="D407" s="48" t="s">
        <v>2</v>
      </c>
      <c r="E407" s="49">
        <v>2250</v>
      </c>
      <c r="F407" s="50">
        <f>C407*E407</f>
        <v>9000</v>
      </c>
    </row>
    <row r="408" spans="1:6" x14ac:dyDescent="0.25">
      <c r="A408" s="45"/>
      <c r="B408" s="46" t="s">
        <v>56</v>
      </c>
      <c r="C408" s="47">
        <v>1.4999999999999999E-2</v>
      </c>
      <c r="D408" s="48" t="s">
        <v>10</v>
      </c>
      <c r="E408" s="49">
        <f>SUM(F403:F407)</f>
        <v>15278</v>
      </c>
      <c r="F408" s="50">
        <f>C408*E408</f>
        <v>229.17</v>
      </c>
    </row>
    <row r="409" spans="1:6" x14ac:dyDescent="0.25">
      <c r="A409" s="51"/>
      <c r="B409" s="52"/>
      <c r="C409" s="53"/>
      <c r="D409" s="54"/>
      <c r="E409" s="55"/>
      <c r="F409" s="56"/>
    </row>
    <row r="410" spans="1:6" ht="15.75" x14ac:dyDescent="0.25">
      <c r="A410" s="167"/>
      <c r="B410" s="167"/>
      <c r="C410" s="167"/>
      <c r="D410" s="57" t="s">
        <v>57</v>
      </c>
      <c r="E410" s="58"/>
      <c r="F410" s="59">
        <f>SUM(F404:F409)/F401</f>
        <v>3876.7925</v>
      </c>
    </row>
    <row r="412" spans="1:6" ht="33" customHeight="1" x14ac:dyDescent="0.25">
      <c r="A412" s="39"/>
      <c r="B412" s="40" t="s">
        <v>208</v>
      </c>
      <c r="C412" s="41"/>
      <c r="D412" s="41"/>
      <c r="E412" s="42" t="s">
        <v>46</v>
      </c>
      <c r="F412" s="43">
        <v>1</v>
      </c>
    </row>
    <row r="413" spans="1:6" s="63" customFormat="1" x14ac:dyDescent="0.25">
      <c r="A413" s="44" t="s">
        <v>47</v>
      </c>
      <c r="B413" s="44" t="s">
        <v>48</v>
      </c>
      <c r="C413" s="44" t="s">
        <v>49</v>
      </c>
      <c r="D413" s="44" t="s">
        <v>50</v>
      </c>
      <c r="E413" s="44" t="s">
        <v>51</v>
      </c>
      <c r="F413" s="44" t="s">
        <v>52</v>
      </c>
    </row>
    <row r="414" spans="1:6" ht="6.75" customHeight="1" x14ac:dyDescent="0.25"/>
    <row r="415" spans="1:6" x14ac:dyDescent="0.25">
      <c r="A415" s="45"/>
      <c r="B415" s="46" t="s">
        <v>203</v>
      </c>
      <c r="C415" s="47">
        <v>0.25</v>
      </c>
      <c r="D415" s="48" t="s">
        <v>204</v>
      </c>
      <c r="E415" s="49">
        <v>1630</v>
      </c>
      <c r="F415" s="50">
        <f>C415*E415</f>
        <v>407.5</v>
      </c>
    </row>
    <row r="416" spans="1:6" x14ac:dyDescent="0.25">
      <c r="A416" s="45"/>
      <c r="B416" s="46" t="s">
        <v>205</v>
      </c>
      <c r="C416" s="47">
        <v>0.5</v>
      </c>
      <c r="D416" s="48" t="s">
        <v>204</v>
      </c>
      <c r="E416" s="49">
        <v>1774</v>
      </c>
      <c r="F416" s="50">
        <f>C416*E416</f>
        <v>887</v>
      </c>
    </row>
    <row r="417" spans="1:6" x14ac:dyDescent="0.25">
      <c r="A417" s="45"/>
      <c r="B417" s="46" t="s">
        <v>131</v>
      </c>
      <c r="C417" s="47">
        <v>1</v>
      </c>
      <c r="D417" s="48" t="s">
        <v>202</v>
      </c>
      <c r="E417" s="49">
        <v>300</v>
      </c>
      <c r="F417" s="50">
        <f>C417*E417</f>
        <v>300</v>
      </c>
    </row>
    <row r="418" spans="1:6" x14ac:dyDescent="0.25">
      <c r="A418" s="45"/>
      <c r="B418" s="46" t="s">
        <v>85</v>
      </c>
      <c r="C418" s="47">
        <v>1</v>
      </c>
      <c r="D418" s="48" t="s">
        <v>2</v>
      </c>
      <c r="E418" s="49">
        <v>1600</v>
      </c>
      <c r="F418" s="50">
        <f>C418*E418</f>
        <v>1600</v>
      </c>
    </row>
    <row r="419" spans="1:6" x14ac:dyDescent="0.25">
      <c r="A419" s="45"/>
      <c r="B419" s="46" t="s">
        <v>56</v>
      </c>
      <c r="C419" s="47">
        <v>1.4999999999999999E-2</v>
      </c>
      <c r="D419" s="48" t="s">
        <v>10</v>
      </c>
      <c r="E419" s="49">
        <f>SUM(F414:F418)</f>
        <v>3194.5</v>
      </c>
      <c r="F419" s="50">
        <f>C419*E419</f>
        <v>47.917499999999997</v>
      </c>
    </row>
    <row r="420" spans="1:6" x14ac:dyDescent="0.25">
      <c r="A420" s="51"/>
      <c r="B420" s="52"/>
      <c r="C420" s="53"/>
      <c r="D420" s="54"/>
      <c r="E420" s="55"/>
      <c r="F420" s="56"/>
    </row>
    <row r="421" spans="1:6" ht="15.75" x14ac:dyDescent="0.25">
      <c r="A421" s="167"/>
      <c r="B421" s="167"/>
      <c r="C421" s="167"/>
      <c r="D421" s="57" t="s">
        <v>57</v>
      </c>
      <c r="E421" s="58"/>
      <c r="F421" s="59">
        <f>SUM(F415:F420)/F412</f>
        <v>3242.4175</v>
      </c>
    </row>
    <row r="423" spans="1:6" ht="31.5" customHeight="1" x14ac:dyDescent="0.25">
      <c r="A423" s="39"/>
      <c r="B423" s="40" t="s">
        <v>12</v>
      </c>
      <c r="C423" s="41"/>
      <c r="D423" s="41"/>
      <c r="E423" s="42" t="s">
        <v>46</v>
      </c>
      <c r="F423" s="43">
        <v>1</v>
      </c>
    </row>
    <row r="424" spans="1:6" s="63" customFormat="1" ht="15" customHeight="1" x14ac:dyDescent="0.25">
      <c r="A424" s="44" t="s">
        <v>47</v>
      </c>
      <c r="B424" s="44" t="s">
        <v>48</v>
      </c>
      <c r="C424" s="44" t="s">
        <v>49</v>
      </c>
      <c r="D424" s="44" t="s">
        <v>50</v>
      </c>
      <c r="E424" s="44" t="s">
        <v>51</v>
      </c>
      <c r="F424" s="44" t="s">
        <v>52</v>
      </c>
    </row>
    <row r="425" spans="1:6" ht="6.75" customHeight="1" x14ac:dyDescent="0.25"/>
    <row r="426" spans="1:6" x14ac:dyDescent="0.25">
      <c r="A426" s="45"/>
      <c r="B426" s="64" t="s">
        <v>154</v>
      </c>
      <c r="C426" s="47">
        <v>0.5</v>
      </c>
      <c r="D426" s="48" t="s">
        <v>54</v>
      </c>
      <c r="E426" s="49">
        <f>797.39*2</f>
        <v>1594.78</v>
      </c>
      <c r="F426" s="50">
        <f>C426*E426</f>
        <v>797.39</v>
      </c>
    </row>
    <row r="427" spans="1:6" x14ac:dyDescent="0.25">
      <c r="A427" s="45"/>
      <c r="B427" s="64" t="s">
        <v>60</v>
      </c>
      <c r="C427" s="47">
        <f>C426*0.2</f>
        <v>0.1</v>
      </c>
      <c r="D427" s="48" t="s">
        <v>54</v>
      </c>
      <c r="E427" s="49">
        <v>1898.49</v>
      </c>
      <c r="F427" s="50">
        <f>C427*E427</f>
        <v>189.84900000000002</v>
      </c>
    </row>
    <row r="428" spans="1:6" x14ac:dyDescent="0.25">
      <c r="A428" s="45"/>
      <c r="B428" s="64" t="s">
        <v>171</v>
      </c>
      <c r="C428" s="47">
        <v>2</v>
      </c>
      <c r="D428" s="48" t="s">
        <v>2</v>
      </c>
      <c r="E428" s="49">
        <v>2500</v>
      </c>
      <c r="F428" s="50">
        <f>C428*E428</f>
        <v>5000</v>
      </c>
    </row>
    <row r="429" spans="1:6" x14ac:dyDescent="0.25">
      <c r="A429" s="45"/>
      <c r="B429" s="46" t="s">
        <v>56</v>
      </c>
      <c r="C429" s="47">
        <v>1.4999999999999999E-2</v>
      </c>
      <c r="D429" s="48" t="s">
        <v>10</v>
      </c>
      <c r="E429" s="49">
        <f>SUM(F425:F427)</f>
        <v>987.23900000000003</v>
      </c>
      <c r="F429" s="50">
        <f>C429*E429</f>
        <v>14.808585000000001</v>
      </c>
    </row>
    <row r="430" spans="1:6" x14ac:dyDescent="0.25">
      <c r="A430" s="51"/>
      <c r="B430" s="52"/>
      <c r="C430" s="53"/>
      <c r="D430" s="54"/>
      <c r="E430" s="55"/>
      <c r="F430" s="56"/>
    </row>
    <row r="431" spans="1:6" ht="15.75" x14ac:dyDescent="0.25">
      <c r="A431" s="167"/>
      <c r="B431" s="167"/>
      <c r="C431" s="167"/>
      <c r="D431" s="57" t="s">
        <v>155</v>
      </c>
      <c r="E431" s="58"/>
      <c r="F431" s="59">
        <f>SUM(F426:F430)/F423</f>
        <v>6002.0475849999993</v>
      </c>
    </row>
    <row r="433" spans="1:6" ht="24" customHeight="1" x14ac:dyDescent="0.25">
      <c r="B433" s="60" t="s">
        <v>13</v>
      </c>
    </row>
    <row r="434" spans="1:6" ht="36.75" x14ac:dyDescent="0.25">
      <c r="A434" s="33">
        <f>+A433+0.01</f>
        <v>0.01</v>
      </c>
      <c r="B434" s="19" t="s">
        <v>209</v>
      </c>
      <c r="C434" s="20">
        <v>1</v>
      </c>
      <c r="D434" s="20" t="s">
        <v>71</v>
      </c>
      <c r="E434" s="21"/>
      <c r="F434" s="21">
        <f>F452/C436</f>
        <v>2892.1088169642853</v>
      </c>
    </row>
    <row r="435" spans="1:6" x14ac:dyDescent="0.25">
      <c r="A435" s="34"/>
      <c r="B435" s="23" t="s">
        <v>174</v>
      </c>
      <c r="C435" s="24"/>
      <c r="D435" s="24"/>
      <c r="E435" s="25"/>
      <c r="F435" s="25"/>
    </row>
    <row r="436" spans="1:6" x14ac:dyDescent="0.25">
      <c r="A436" s="34"/>
      <c r="B436" s="23" t="s">
        <v>73</v>
      </c>
      <c r="C436" s="27">
        <v>35.840000000000003</v>
      </c>
      <c r="D436" s="27" t="s">
        <v>71</v>
      </c>
      <c r="E436" s="25"/>
      <c r="F436" s="25"/>
    </row>
    <row r="437" spans="1:6" x14ac:dyDescent="0.25">
      <c r="A437" s="34"/>
      <c r="B437" s="23" t="s">
        <v>74</v>
      </c>
      <c r="C437" s="27"/>
      <c r="D437" s="27"/>
      <c r="E437" s="25"/>
      <c r="F437" s="25"/>
    </row>
    <row r="438" spans="1:6" x14ac:dyDescent="0.25">
      <c r="A438" s="35"/>
      <c r="B438" s="32" t="s">
        <v>188</v>
      </c>
      <c r="C438" s="27">
        <f>25*2</f>
        <v>50</v>
      </c>
      <c r="D438" s="30" t="s">
        <v>83</v>
      </c>
      <c r="E438" s="65">
        <v>686.06</v>
      </c>
      <c r="F438" s="31">
        <f>ROUND((C438*(E438)),2)</f>
        <v>34303</v>
      </c>
    </row>
    <row r="439" spans="1:6" x14ac:dyDescent="0.25">
      <c r="A439" s="35"/>
      <c r="B439" s="32" t="s">
        <v>210</v>
      </c>
      <c r="C439" s="27">
        <f>39*2</f>
        <v>78</v>
      </c>
      <c r="D439" s="30" t="s">
        <v>83</v>
      </c>
      <c r="E439" s="65">
        <v>279</v>
      </c>
      <c r="F439" s="31">
        <f t="shared" ref="F439:F448" si="9">ROUND((C439*(E439)),2)</f>
        <v>21762</v>
      </c>
    </row>
    <row r="440" spans="1:6" x14ac:dyDescent="0.25">
      <c r="A440" s="35"/>
      <c r="B440" s="32" t="s">
        <v>190</v>
      </c>
      <c r="C440" s="27">
        <f>13*2</f>
        <v>26</v>
      </c>
      <c r="D440" s="30" t="s">
        <v>83</v>
      </c>
      <c r="E440" s="65">
        <v>179.99</v>
      </c>
      <c r="F440" s="31">
        <f t="shared" si="9"/>
        <v>4679.74</v>
      </c>
    </row>
    <row r="441" spans="1:6" x14ac:dyDescent="0.25">
      <c r="A441" s="35"/>
      <c r="B441" s="32" t="s">
        <v>191</v>
      </c>
      <c r="C441" s="27">
        <v>4</v>
      </c>
      <c r="D441" s="30" t="s">
        <v>83</v>
      </c>
      <c r="E441" s="65">
        <v>158.66999999999999</v>
      </c>
      <c r="F441" s="31">
        <f t="shared" si="9"/>
        <v>634.67999999999995</v>
      </c>
    </row>
    <row r="442" spans="1:6" x14ac:dyDescent="0.25">
      <c r="A442" s="35"/>
      <c r="B442" s="32" t="s">
        <v>192</v>
      </c>
      <c r="C442" s="27">
        <v>8</v>
      </c>
      <c r="D442" s="30" t="s">
        <v>83</v>
      </c>
      <c r="E442" s="65">
        <v>1515.72</v>
      </c>
      <c r="F442" s="31">
        <f t="shared" si="9"/>
        <v>12125.76</v>
      </c>
    </row>
    <row r="443" spans="1:6" x14ac:dyDescent="0.25">
      <c r="A443" s="35"/>
      <c r="B443" s="14" t="s">
        <v>193</v>
      </c>
      <c r="C443" s="27">
        <v>2</v>
      </c>
      <c r="D443" s="30" t="s">
        <v>83</v>
      </c>
      <c r="E443" s="65">
        <v>446.84000000000003</v>
      </c>
      <c r="F443" s="31">
        <f t="shared" si="9"/>
        <v>893.68</v>
      </c>
    </row>
    <row r="444" spans="1:6" x14ac:dyDescent="0.25">
      <c r="A444" s="35"/>
      <c r="B444" s="14" t="s">
        <v>194</v>
      </c>
      <c r="C444" s="27">
        <v>2</v>
      </c>
      <c r="D444" s="30" t="s">
        <v>83</v>
      </c>
      <c r="E444" s="65">
        <v>734.21</v>
      </c>
      <c r="F444" s="31">
        <f t="shared" si="9"/>
        <v>1468.42</v>
      </c>
    </row>
    <row r="445" spans="1:6" x14ac:dyDescent="0.25">
      <c r="A445" s="35"/>
      <c r="B445" s="32" t="s">
        <v>195</v>
      </c>
      <c r="C445" s="27">
        <v>6</v>
      </c>
      <c r="D445" s="30" t="s">
        <v>81</v>
      </c>
      <c r="E445" s="65">
        <v>184</v>
      </c>
      <c r="F445" s="31">
        <f t="shared" si="9"/>
        <v>1104</v>
      </c>
    </row>
    <row r="446" spans="1:6" x14ac:dyDescent="0.25">
      <c r="A446" s="35"/>
      <c r="B446" s="32" t="s">
        <v>196</v>
      </c>
      <c r="C446" s="27">
        <v>4</v>
      </c>
      <c r="D446" s="30" t="s">
        <v>81</v>
      </c>
      <c r="E446" s="65">
        <v>207</v>
      </c>
      <c r="F446" s="31">
        <f t="shared" si="9"/>
        <v>828</v>
      </c>
    </row>
    <row r="447" spans="1:6" x14ac:dyDescent="0.25">
      <c r="A447" s="35"/>
      <c r="B447" s="32" t="s">
        <v>197</v>
      </c>
      <c r="C447" s="27">
        <v>30</v>
      </c>
      <c r="D447" s="30" t="s">
        <v>83</v>
      </c>
      <c r="E447" s="65">
        <v>115.26</v>
      </c>
      <c r="F447" s="31">
        <f t="shared" si="9"/>
        <v>3457.8</v>
      </c>
    </row>
    <row r="448" spans="1:6" x14ac:dyDescent="0.25">
      <c r="A448" s="35"/>
      <c r="B448" s="32" t="s">
        <v>211</v>
      </c>
      <c r="C448" s="27">
        <v>1.5</v>
      </c>
      <c r="D448" s="30" t="s">
        <v>212</v>
      </c>
      <c r="E448" s="65">
        <v>3398</v>
      </c>
      <c r="F448" s="31">
        <f t="shared" si="9"/>
        <v>5097</v>
      </c>
    </row>
    <row r="449" spans="1:11" x14ac:dyDescent="0.25">
      <c r="A449" s="35"/>
      <c r="B449" s="32"/>
      <c r="C449" s="27"/>
      <c r="D449" s="30"/>
      <c r="E449" s="65"/>
      <c r="F449" s="31"/>
    </row>
    <row r="450" spans="1:11" x14ac:dyDescent="0.25">
      <c r="A450" s="34"/>
      <c r="B450" s="23" t="s">
        <v>185</v>
      </c>
      <c r="C450" s="27"/>
      <c r="D450" s="27"/>
      <c r="E450" s="25"/>
      <c r="F450" s="31"/>
    </row>
    <row r="451" spans="1:11" x14ac:dyDescent="0.25">
      <c r="A451" s="34"/>
      <c r="B451" s="15" t="s">
        <v>198</v>
      </c>
      <c r="C451" s="27">
        <v>70</v>
      </c>
      <c r="D451" s="27" t="s">
        <v>71</v>
      </c>
      <c r="E451" s="31">
        <v>247.13</v>
      </c>
      <c r="F451" s="31">
        <f>ROUND((C451*(E451)),2)</f>
        <v>17299.099999999999</v>
      </c>
    </row>
    <row r="452" spans="1:11" x14ac:dyDescent="0.25">
      <c r="A452" s="16"/>
      <c r="B452" s="28" t="s">
        <v>87</v>
      </c>
      <c r="C452" s="27"/>
      <c r="D452" s="27"/>
      <c r="E452" s="31"/>
      <c r="F452" s="31">
        <f>SUM(F438:F451)</f>
        <v>103653.18</v>
      </c>
    </row>
    <row r="454" spans="1:11" ht="40.5" customHeight="1" x14ac:dyDescent="0.25">
      <c r="A454" s="39"/>
      <c r="B454" s="40" t="s">
        <v>213</v>
      </c>
      <c r="C454" s="41"/>
      <c r="D454" s="41"/>
      <c r="E454" s="42" t="s">
        <v>46</v>
      </c>
      <c r="F454" s="43">
        <v>1</v>
      </c>
    </row>
    <row r="455" spans="1:11" s="63" customFormat="1" x14ac:dyDescent="0.25">
      <c r="A455" s="44" t="s">
        <v>47</v>
      </c>
      <c r="B455" s="44" t="s">
        <v>48</v>
      </c>
      <c r="C455" s="44" t="s">
        <v>49</v>
      </c>
      <c r="D455" s="44" t="s">
        <v>50</v>
      </c>
      <c r="E455" s="44" t="s">
        <v>51</v>
      </c>
      <c r="F455" s="44" t="s">
        <v>52</v>
      </c>
    </row>
    <row r="456" spans="1:11" ht="6.75" customHeight="1" x14ac:dyDescent="0.25"/>
    <row r="457" spans="1:11" ht="30" x14ac:dyDescent="0.25">
      <c r="A457" s="45"/>
      <c r="B457" s="64" t="s">
        <v>214</v>
      </c>
      <c r="C457" s="47">
        <v>1</v>
      </c>
      <c r="D457" s="48" t="s">
        <v>2</v>
      </c>
      <c r="E457" s="49">
        <v>20100</v>
      </c>
      <c r="F457" s="50">
        <f>C457*E457</f>
        <v>20100</v>
      </c>
      <c r="H457" s="64"/>
      <c r="I457" s="47"/>
      <c r="J457" s="48"/>
      <c r="K457" s="49"/>
    </row>
    <row r="458" spans="1:11" x14ac:dyDescent="0.25">
      <c r="A458" s="45"/>
      <c r="B458" s="64" t="s">
        <v>142</v>
      </c>
      <c r="C458" s="47">
        <v>1</v>
      </c>
      <c r="D458" s="48" t="s">
        <v>2</v>
      </c>
      <c r="E458" s="49">
        <v>1285</v>
      </c>
      <c r="F458" s="50">
        <f>C458*E458</f>
        <v>1285</v>
      </c>
      <c r="H458" s="64"/>
      <c r="I458" s="47"/>
      <c r="J458" s="48"/>
      <c r="K458" s="49"/>
    </row>
    <row r="459" spans="1:11" x14ac:dyDescent="0.25">
      <c r="A459" s="45"/>
      <c r="B459" s="64" t="s">
        <v>108</v>
      </c>
      <c r="C459" s="47">
        <v>1</v>
      </c>
      <c r="D459" s="48" t="s">
        <v>2</v>
      </c>
      <c r="E459" s="49">
        <v>2055</v>
      </c>
      <c r="F459" s="50">
        <f>C459*E459</f>
        <v>2055</v>
      </c>
      <c r="H459" s="64"/>
      <c r="I459" s="47"/>
      <c r="J459" s="48"/>
      <c r="K459" s="49"/>
    </row>
    <row r="460" spans="1:11" ht="20.100000000000001" customHeight="1" x14ac:dyDescent="0.25">
      <c r="A460" s="51"/>
      <c r="B460" s="52"/>
      <c r="C460" s="53"/>
      <c r="D460" s="54"/>
      <c r="E460" s="55"/>
      <c r="F460" s="56"/>
    </row>
    <row r="461" spans="1:11" ht="15.75" x14ac:dyDescent="0.25">
      <c r="A461" s="168"/>
      <c r="B461" s="169"/>
      <c r="C461" s="170"/>
      <c r="D461" s="57" t="s">
        <v>57</v>
      </c>
      <c r="E461" s="58"/>
      <c r="F461" s="59">
        <f>SUM(F457:F460)/F454</f>
        <v>23440</v>
      </c>
    </row>
    <row r="463" spans="1:11" ht="30" customHeight="1" x14ac:dyDescent="0.25">
      <c r="A463" s="39"/>
      <c r="B463" s="40" t="s">
        <v>215</v>
      </c>
      <c r="C463" s="41"/>
      <c r="D463" s="41"/>
      <c r="E463" s="42" t="s">
        <v>46</v>
      </c>
      <c r="F463" s="43">
        <v>1</v>
      </c>
    </row>
    <row r="464" spans="1:11" s="63" customFormat="1" x14ac:dyDescent="0.25">
      <c r="A464" s="44" t="s">
        <v>47</v>
      </c>
      <c r="B464" s="44" t="s">
        <v>48</v>
      </c>
      <c r="C464" s="44" t="s">
        <v>49</v>
      </c>
      <c r="D464" s="44" t="s">
        <v>50</v>
      </c>
      <c r="E464" s="44" t="s">
        <v>51</v>
      </c>
      <c r="F464" s="44" t="s">
        <v>52</v>
      </c>
    </row>
    <row r="465" spans="1:6" ht="6.75" customHeight="1" x14ac:dyDescent="0.25"/>
    <row r="466" spans="1:6" x14ac:dyDescent="0.25">
      <c r="A466" s="45"/>
      <c r="B466" s="28" t="s">
        <v>216</v>
      </c>
      <c r="C466" s="27">
        <v>1.1499999999999999</v>
      </c>
      <c r="D466" s="30" t="s">
        <v>83</v>
      </c>
      <c r="E466" s="49">
        <v>123</v>
      </c>
      <c r="F466" s="50">
        <f>C466*E466</f>
        <v>141.44999999999999</v>
      </c>
    </row>
    <row r="467" spans="1:6" x14ac:dyDescent="0.25">
      <c r="A467" s="45"/>
      <c r="B467" s="28" t="s">
        <v>217</v>
      </c>
      <c r="C467" s="27">
        <v>1</v>
      </c>
      <c r="D467" s="30" t="s">
        <v>83</v>
      </c>
      <c r="E467" s="49">
        <v>45.38</v>
      </c>
      <c r="F467" s="50">
        <f t="shared" ref="F467:F475" si="10">C467*E467</f>
        <v>45.38</v>
      </c>
    </row>
    <row r="468" spans="1:6" x14ac:dyDescent="0.25">
      <c r="A468" s="45"/>
      <c r="B468" s="28" t="s">
        <v>218</v>
      </c>
      <c r="C468" s="27">
        <v>40</v>
      </c>
      <c r="D468" s="30" t="s">
        <v>219</v>
      </c>
      <c r="E468" s="49">
        <v>15.25</v>
      </c>
      <c r="F468" s="50">
        <f t="shared" si="10"/>
        <v>610</v>
      </c>
    </row>
    <row r="469" spans="1:6" x14ac:dyDescent="0.25">
      <c r="A469" s="45"/>
      <c r="B469" s="28" t="s">
        <v>220</v>
      </c>
      <c r="C469" s="27">
        <v>1</v>
      </c>
      <c r="D469" s="30" t="s">
        <v>83</v>
      </c>
      <c r="E469" s="49">
        <v>169</v>
      </c>
      <c r="F469" s="50">
        <f t="shared" si="10"/>
        <v>169</v>
      </c>
    </row>
    <row r="470" spans="1:6" x14ac:dyDescent="0.25">
      <c r="A470" s="45"/>
      <c r="B470" s="28" t="s">
        <v>221</v>
      </c>
      <c r="C470" s="27">
        <v>1</v>
      </c>
      <c r="D470" s="30" t="s">
        <v>83</v>
      </c>
      <c r="E470" s="49">
        <v>25</v>
      </c>
      <c r="F470" s="50">
        <f t="shared" si="10"/>
        <v>25</v>
      </c>
    </row>
    <row r="471" spans="1:6" x14ac:dyDescent="0.25">
      <c r="A471" s="45"/>
      <c r="B471" s="28" t="s">
        <v>222</v>
      </c>
      <c r="C471" s="27">
        <v>0.05</v>
      </c>
      <c r="D471" s="30" t="s">
        <v>83</v>
      </c>
      <c r="E471" s="49">
        <v>450</v>
      </c>
      <c r="F471" s="50">
        <f t="shared" si="10"/>
        <v>22.5</v>
      </c>
    </row>
    <row r="472" spans="1:6" x14ac:dyDescent="0.25">
      <c r="A472" s="45"/>
      <c r="B472" s="28" t="s">
        <v>223</v>
      </c>
      <c r="C472" s="27">
        <v>1.2500000000000001E-2</v>
      </c>
      <c r="D472" s="30" t="s">
        <v>83</v>
      </c>
      <c r="E472" s="49">
        <v>742</v>
      </c>
      <c r="F472" s="50">
        <f t="shared" si="10"/>
        <v>9.2750000000000004</v>
      </c>
    </row>
    <row r="473" spans="1:6" x14ac:dyDescent="0.25">
      <c r="A473" s="45"/>
      <c r="B473" s="28" t="s">
        <v>224</v>
      </c>
      <c r="C473" s="27">
        <v>1</v>
      </c>
      <c r="D473" s="30" t="s">
        <v>83</v>
      </c>
      <c r="E473" s="49">
        <v>719</v>
      </c>
      <c r="F473" s="50">
        <f t="shared" si="10"/>
        <v>719</v>
      </c>
    </row>
    <row r="474" spans="1:6" x14ac:dyDescent="0.25">
      <c r="A474" s="45"/>
      <c r="B474" s="28" t="s">
        <v>225</v>
      </c>
      <c r="C474" s="27">
        <v>0.25</v>
      </c>
      <c r="D474" s="30" t="s">
        <v>54</v>
      </c>
      <c r="E474" s="49">
        <v>779</v>
      </c>
      <c r="F474" s="50">
        <f t="shared" si="10"/>
        <v>194.75</v>
      </c>
    </row>
    <row r="475" spans="1:6" x14ac:dyDescent="0.25">
      <c r="A475" s="45"/>
      <c r="B475" s="66" t="s">
        <v>226</v>
      </c>
      <c r="C475" s="67">
        <f>1/4</f>
        <v>0.25</v>
      </c>
      <c r="D475" s="48" t="s">
        <v>62</v>
      </c>
      <c r="E475" s="49">
        <v>235</v>
      </c>
      <c r="F475" s="50">
        <f t="shared" si="10"/>
        <v>58.75</v>
      </c>
    </row>
    <row r="476" spans="1:6" x14ac:dyDescent="0.25">
      <c r="A476" s="45"/>
      <c r="B476" s="28" t="s">
        <v>227</v>
      </c>
      <c r="C476" s="27">
        <v>15</v>
      </c>
      <c r="D476" s="30" t="s">
        <v>150</v>
      </c>
      <c r="E476" s="49">
        <f>SUM(F465:F475)</f>
        <v>1995.105</v>
      </c>
      <c r="F476" s="50">
        <f>C476*E476%</f>
        <v>299.26574999999997</v>
      </c>
    </row>
    <row r="477" spans="1:6" x14ac:dyDescent="0.25">
      <c r="A477" s="45"/>
    </row>
    <row r="478" spans="1:6" ht="15.75" x14ac:dyDescent="0.25">
      <c r="A478" s="167"/>
      <c r="B478" s="167"/>
      <c r="C478" s="167"/>
      <c r="D478" s="57" t="s">
        <v>155</v>
      </c>
      <c r="E478" s="58"/>
      <c r="F478" s="59">
        <f>SUM(F466:F477)/F463</f>
        <v>2294.37075</v>
      </c>
    </row>
    <row r="480" spans="1:6" ht="31.5" customHeight="1" x14ac:dyDescent="0.25">
      <c r="A480" s="39"/>
      <c r="B480" s="40" t="s">
        <v>12</v>
      </c>
      <c r="C480" s="41"/>
      <c r="D480" s="41"/>
      <c r="E480" s="42" t="s">
        <v>46</v>
      </c>
      <c r="F480" s="43">
        <v>1</v>
      </c>
    </row>
    <row r="481" spans="1:6" s="63" customFormat="1" ht="15" customHeight="1" x14ac:dyDescent="0.25">
      <c r="A481" s="44" t="s">
        <v>47</v>
      </c>
      <c r="B481" s="44" t="s">
        <v>48</v>
      </c>
      <c r="C481" s="44" t="s">
        <v>49</v>
      </c>
      <c r="D481" s="44" t="s">
        <v>50</v>
      </c>
      <c r="E481" s="44" t="s">
        <v>51</v>
      </c>
      <c r="F481" s="44" t="s">
        <v>52</v>
      </c>
    </row>
    <row r="482" spans="1:6" ht="6.75" customHeight="1" x14ac:dyDescent="0.25"/>
    <row r="483" spans="1:6" x14ac:dyDescent="0.25">
      <c r="A483" s="45"/>
      <c r="B483" s="64" t="s">
        <v>154</v>
      </c>
      <c r="C483" s="47">
        <v>2</v>
      </c>
      <c r="D483" s="48" t="s">
        <v>54</v>
      </c>
      <c r="E483" s="49">
        <f>797.39*2</f>
        <v>1594.78</v>
      </c>
      <c r="F483" s="50">
        <f>C483*E483</f>
        <v>3189.56</v>
      </c>
    </row>
    <row r="484" spans="1:6" x14ac:dyDescent="0.25">
      <c r="A484" s="45"/>
      <c r="B484" s="64" t="s">
        <v>60</v>
      </c>
      <c r="C484" s="47">
        <f>C483*0.2</f>
        <v>0.4</v>
      </c>
      <c r="D484" s="48" t="s">
        <v>54</v>
      </c>
      <c r="E484" s="49">
        <v>1898.49</v>
      </c>
      <c r="F484" s="50">
        <f>C484*E484</f>
        <v>759.39600000000007</v>
      </c>
    </row>
    <row r="485" spans="1:6" x14ac:dyDescent="0.25">
      <c r="A485" s="45"/>
      <c r="B485" s="64" t="s">
        <v>171</v>
      </c>
      <c r="C485" s="47">
        <v>1</v>
      </c>
      <c r="D485" s="48" t="s">
        <v>2</v>
      </c>
      <c r="E485" s="49">
        <v>2500</v>
      </c>
      <c r="F485" s="50">
        <f>C485*E485</f>
        <v>2500</v>
      </c>
    </row>
    <row r="486" spans="1:6" x14ac:dyDescent="0.25">
      <c r="A486" s="45"/>
      <c r="B486" s="46" t="s">
        <v>56</v>
      </c>
      <c r="C486" s="47">
        <v>1.4999999999999999E-2</v>
      </c>
      <c r="D486" s="48" t="s">
        <v>10</v>
      </c>
      <c r="E486" s="49">
        <f>SUM(F482:F484)</f>
        <v>3948.9560000000001</v>
      </c>
      <c r="F486" s="50">
        <f>C486*E486</f>
        <v>59.234340000000003</v>
      </c>
    </row>
    <row r="487" spans="1:6" x14ac:dyDescent="0.25">
      <c r="A487" s="51"/>
      <c r="B487" s="52"/>
      <c r="C487" s="53"/>
      <c r="D487" s="54"/>
      <c r="E487" s="55"/>
      <c r="F487" s="56"/>
    </row>
    <row r="488" spans="1:6" ht="15.75" x14ac:dyDescent="0.25">
      <c r="A488" s="167"/>
      <c r="B488" s="167"/>
      <c r="C488" s="167"/>
      <c r="D488" s="57" t="s">
        <v>155</v>
      </c>
      <c r="E488" s="58"/>
      <c r="F488" s="59">
        <f>SUM(F483:F487)/F480</f>
        <v>6508.1903400000001</v>
      </c>
    </row>
    <row r="490" spans="1:6" ht="30" customHeight="1" x14ac:dyDescent="0.25">
      <c r="A490" s="39"/>
      <c r="B490" s="40" t="s">
        <v>228</v>
      </c>
      <c r="C490" s="41"/>
      <c r="D490" s="41"/>
      <c r="E490" s="42" t="s">
        <v>46</v>
      </c>
      <c r="F490" s="43">
        <v>1</v>
      </c>
    </row>
    <row r="491" spans="1:6" s="63" customFormat="1" x14ac:dyDescent="0.25">
      <c r="A491" s="44" t="s">
        <v>47</v>
      </c>
      <c r="B491" s="44" t="s">
        <v>48</v>
      </c>
      <c r="C491" s="44" t="s">
        <v>49</v>
      </c>
      <c r="D491" s="44" t="s">
        <v>50</v>
      </c>
      <c r="E491" s="44" t="s">
        <v>51</v>
      </c>
      <c r="F491" s="44" t="s">
        <v>52</v>
      </c>
    </row>
    <row r="492" spans="1:6" ht="6.75" customHeight="1" x14ac:dyDescent="0.25"/>
    <row r="493" spans="1:6" x14ac:dyDescent="0.25">
      <c r="A493" s="45"/>
      <c r="B493" s="46" t="s">
        <v>229</v>
      </c>
      <c r="C493" s="47">
        <f>7.1/8</f>
        <v>0.88749999999999996</v>
      </c>
      <c r="D493" s="48" t="s">
        <v>54</v>
      </c>
      <c r="E493" s="49">
        <v>1898.49</v>
      </c>
      <c r="F493" s="50">
        <f>C493*E493</f>
        <v>1684.9098749999998</v>
      </c>
    </row>
    <row r="494" spans="1:6" x14ac:dyDescent="0.25">
      <c r="A494" s="45"/>
      <c r="B494" s="46" t="s">
        <v>230</v>
      </c>
      <c r="C494" s="47">
        <f>C493</f>
        <v>0.88749999999999996</v>
      </c>
      <c r="D494" s="48" t="s">
        <v>54</v>
      </c>
      <c r="E494" s="49">
        <v>1124</v>
      </c>
      <c r="F494" s="50">
        <f>C494*E494</f>
        <v>997.55</v>
      </c>
    </row>
    <row r="495" spans="1:6" x14ac:dyDescent="0.25">
      <c r="A495" s="45"/>
      <c r="B495" s="46" t="s">
        <v>56</v>
      </c>
      <c r="C495" s="47">
        <v>1.4999999999999999E-2</v>
      </c>
      <c r="D495" s="48" t="s">
        <v>10</v>
      </c>
      <c r="E495" s="49">
        <f>SUM(F492:F494)</f>
        <v>2682.4598749999996</v>
      </c>
      <c r="F495" s="50">
        <f>C495*E495</f>
        <v>40.236898124999989</v>
      </c>
    </row>
    <row r="496" spans="1:6" x14ac:dyDescent="0.25">
      <c r="A496" s="51"/>
      <c r="B496" s="52"/>
      <c r="C496" s="53"/>
      <c r="D496" s="54"/>
      <c r="E496" s="55"/>
      <c r="F496" s="56"/>
    </row>
    <row r="497" spans="1:6" ht="15.75" x14ac:dyDescent="0.25">
      <c r="A497" s="167"/>
      <c r="B497" s="167"/>
      <c r="C497" s="167"/>
      <c r="D497" s="57" t="s">
        <v>155</v>
      </c>
      <c r="E497" s="58"/>
      <c r="F497" s="59">
        <f>SUM(F493:F496)/F490</f>
        <v>2722.6967731249997</v>
      </c>
    </row>
    <row r="499" spans="1:6" ht="30" customHeight="1" x14ac:dyDescent="0.25">
      <c r="A499" s="39"/>
      <c r="B499" s="40" t="s">
        <v>231</v>
      </c>
      <c r="C499" s="41"/>
      <c r="D499" s="41"/>
      <c r="E499" s="42" t="s">
        <v>46</v>
      </c>
      <c r="F499" s="43">
        <v>1</v>
      </c>
    </row>
    <row r="500" spans="1:6" s="63" customFormat="1" x14ac:dyDescent="0.25">
      <c r="A500" s="44" t="s">
        <v>47</v>
      </c>
      <c r="B500" s="44" t="s">
        <v>48</v>
      </c>
      <c r="C500" s="44" t="s">
        <v>49</v>
      </c>
      <c r="D500" s="44" t="s">
        <v>50</v>
      </c>
      <c r="E500" s="44" t="s">
        <v>51</v>
      </c>
      <c r="F500" s="44" t="s">
        <v>52</v>
      </c>
    </row>
    <row r="501" spans="1:6" ht="6.75" customHeight="1" x14ac:dyDescent="0.25"/>
    <row r="502" spans="1:6" ht="30" x14ac:dyDescent="0.25">
      <c r="A502" s="45"/>
      <c r="B502" s="64" t="s">
        <v>232</v>
      </c>
      <c r="C502" s="47">
        <v>1</v>
      </c>
      <c r="D502" s="48" t="s">
        <v>2</v>
      </c>
      <c r="E502" s="49">
        <v>32495</v>
      </c>
      <c r="F502" s="50">
        <f>C502*E502</f>
        <v>32495</v>
      </c>
    </row>
    <row r="503" spans="1:6" x14ac:dyDescent="0.25">
      <c r="A503" s="45"/>
      <c r="B503" s="46" t="s">
        <v>229</v>
      </c>
      <c r="C503" s="47">
        <v>0.4</v>
      </c>
      <c r="D503" s="48" t="s">
        <v>54</v>
      </c>
      <c r="E503" s="49">
        <v>1898.49</v>
      </c>
      <c r="F503" s="50">
        <f>C503*E503</f>
        <v>759.39600000000007</v>
      </c>
    </row>
    <row r="504" spans="1:6" x14ac:dyDescent="0.25">
      <c r="A504" s="45"/>
      <c r="B504" s="46" t="s">
        <v>230</v>
      </c>
      <c r="C504" s="47">
        <v>0.4</v>
      </c>
      <c r="D504" s="48" t="s">
        <v>54</v>
      </c>
      <c r="E504" s="49">
        <v>1124</v>
      </c>
      <c r="F504" s="50">
        <f>C504*E504</f>
        <v>449.6</v>
      </c>
    </row>
    <row r="505" spans="1:6" x14ac:dyDescent="0.25">
      <c r="A505" s="45"/>
      <c r="B505" s="46" t="s">
        <v>56</v>
      </c>
      <c r="C505" s="47">
        <v>1.4999999999999999E-2</v>
      </c>
      <c r="D505" s="48" t="s">
        <v>10</v>
      </c>
      <c r="E505" s="49">
        <f>SUM(F501:F504)</f>
        <v>33703.995999999999</v>
      </c>
      <c r="F505" s="50">
        <f>C505*E505</f>
        <v>505.55993999999998</v>
      </c>
    </row>
    <row r="506" spans="1:6" x14ac:dyDescent="0.25">
      <c r="A506" s="51"/>
      <c r="B506" s="52"/>
      <c r="C506" s="53"/>
      <c r="D506" s="54"/>
      <c r="E506" s="55"/>
      <c r="F506" s="56"/>
    </row>
    <row r="507" spans="1:6" ht="15.75" x14ac:dyDescent="0.25">
      <c r="A507" s="167"/>
      <c r="B507" s="167"/>
      <c r="C507" s="167"/>
      <c r="D507" s="57" t="s">
        <v>155</v>
      </c>
      <c r="E507" s="58"/>
      <c r="F507" s="59">
        <f>SUM(F501:F506)/F499</f>
        <v>34209.555939999998</v>
      </c>
    </row>
    <row r="509" spans="1:6" ht="39" customHeight="1" x14ac:dyDescent="0.25">
      <c r="A509" s="39"/>
      <c r="B509" s="40" t="s">
        <v>233</v>
      </c>
      <c r="C509" s="41"/>
      <c r="D509" s="41"/>
      <c r="E509" s="42" t="s">
        <v>46</v>
      </c>
      <c r="F509" s="43">
        <v>1</v>
      </c>
    </row>
    <row r="510" spans="1:6" s="63" customFormat="1" x14ac:dyDescent="0.25">
      <c r="A510" s="44" t="s">
        <v>47</v>
      </c>
      <c r="B510" s="44" t="s">
        <v>48</v>
      </c>
      <c r="C510" s="44" t="s">
        <v>49</v>
      </c>
      <c r="D510" s="44" t="s">
        <v>50</v>
      </c>
      <c r="E510" s="44" t="s">
        <v>51</v>
      </c>
      <c r="F510" s="44" t="s">
        <v>52</v>
      </c>
    </row>
    <row r="511" spans="1:6" ht="6.75" customHeight="1" x14ac:dyDescent="0.25"/>
    <row r="512" spans="1:6" ht="45" x14ac:dyDescent="0.25">
      <c r="A512" s="45"/>
      <c r="B512" s="64" t="s">
        <v>234</v>
      </c>
      <c r="C512" s="47">
        <v>1</v>
      </c>
      <c r="D512" s="48" t="s">
        <v>2</v>
      </c>
      <c r="E512" s="49">
        <v>3500</v>
      </c>
      <c r="F512" s="50">
        <f>C512*E512</f>
        <v>3500</v>
      </c>
    </row>
    <row r="513" spans="1:6" x14ac:dyDescent="0.25">
      <c r="A513" s="45"/>
      <c r="B513" s="46" t="s">
        <v>108</v>
      </c>
      <c r="C513" s="47">
        <v>1</v>
      </c>
      <c r="D513" s="48" t="s">
        <v>2</v>
      </c>
      <c r="E513" s="49">
        <v>250</v>
      </c>
      <c r="F513" s="50">
        <f>C513*E513</f>
        <v>250</v>
      </c>
    </row>
    <row r="514" spans="1:6" x14ac:dyDescent="0.25">
      <c r="A514" s="45"/>
      <c r="B514" s="46" t="s">
        <v>56</v>
      </c>
      <c r="C514" s="47">
        <v>1.4999999999999999E-2</v>
      </c>
      <c r="D514" s="48" t="s">
        <v>10</v>
      </c>
      <c r="E514" s="49">
        <f>SUM(F511:F513)</f>
        <v>3750</v>
      </c>
      <c r="F514" s="50">
        <f>C514*E514</f>
        <v>56.25</v>
      </c>
    </row>
    <row r="515" spans="1:6" x14ac:dyDescent="0.25">
      <c r="A515" s="51"/>
      <c r="B515" s="52"/>
      <c r="C515" s="53"/>
      <c r="D515" s="54"/>
      <c r="E515" s="55"/>
      <c r="F515" s="56"/>
    </row>
    <row r="516" spans="1:6" ht="15.75" x14ac:dyDescent="0.25">
      <c r="A516" s="167"/>
      <c r="B516" s="167"/>
      <c r="C516" s="167"/>
      <c r="D516" s="57" t="s">
        <v>57</v>
      </c>
      <c r="E516" s="58"/>
      <c r="F516" s="59">
        <f>SUM(F512:F515)/F509</f>
        <v>3806.25</v>
      </c>
    </row>
    <row r="518" spans="1:6" ht="24" customHeight="1" x14ac:dyDescent="0.25">
      <c r="B518" s="60" t="s">
        <v>14</v>
      </c>
    </row>
    <row r="520" spans="1:6" ht="33" customHeight="1" x14ac:dyDescent="0.25">
      <c r="A520" s="39"/>
      <c r="B520" s="40" t="s">
        <v>15</v>
      </c>
      <c r="C520" s="41"/>
      <c r="D520" s="41"/>
      <c r="E520" s="42" t="s">
        <v>46</v>
      </c>
      <c r="F520" s="43">
        <v>1</v>
      </c>
    </row>
    <row r="521" spans="1:6" s="63" customFormat="1" x14ac:dyDescent="0.25">
      <c r="A521" s="44" t="s">
        <v>47</v>
      </c>
      <c r="B521" s="44" t="s">
        <v>48</v>
      </c>
      <c r="C521" s="44" t="s">
        <v>49</v>
      </c>
      <c r="D521" s="44" t="s">
        <v>50</v>
      </c>
      <c r="E521" s="44" t="s">
        <v>51</v>
      </c>
      <c r="F521" s="44" t="s">
        <v>52</v>
      </c>
    </row>
    <row r="522" spans="1:6" ht="6.75" customHeight="1" x14ac:dyDescent="0.25"/>
    <row r="523" spans="1:6" x14ac:dyDescent="0.25">
      <c r="A523" s="45"/>
      <c r="B523" s="64" t="s">
        <v>157</v>
      </c>
      <c r="C523" s="47">
        <v>0.2</v>
      </c>
      <c r="D523" s="48" t="s">
        <v>106</v>
      </c>
      <c r="E523" s="49">
        <v>1898.49</v>
      </c>
      <c r="F523" s="50">
        <f>C523*E523</f>
        <v>379.69800000000004</v>
      </c>
    </row>
    <row r="524" spans="1:6" x14ac:dyDescent="0.25">
      <c r="A524" s="45"/>
      <c r="B524" s="46" t="s">
        <v>235</v>
      </c>
      <c r="C524" s="47">
        <f>C523</f>
        <v>0.2</v>
      </c>
      <c r="D524" s="48" t="s">
        <v>106</v>
      </c>
      <c r="E524" s="49">
        <v>1024.8699999999999</v>
      </c>
      <c r="F524" s="50">
        <f>C524*E524</f>
        <v>204.97399999999999</v>
      </c>
    </row>
    <row r="525" spans="1:6" x14ac:dyDescent="0.25">
      <c r="A525" s="45"/>
      <c r="B525" s="46" t="s">
        <v>56</v>
      </c>
      <c r="C525" s="47">
        <v>1.4999999999999999E-2</v>
      </c>
      <c r="D525" s="48" t="s">
        <v>10</v>
      </c>
      <c r="E525" s="49">
        <f>SUM(F522:F524)</f>
        <v>584.67200000000003</v>
      </c>
      <c r="F525" s="50">
        <f>C525*E525</f>
        <v>8.7700800000000001</v>
      </c>
    </row>
    <row r="526" spans="1:6" x14ac:dyDescent="0.25">
      <c r="A526" s="51"/>
      <c r="B526" s="52"/>
      <c r="C526" s="53"/>
      <c r="D526" s="54"/>
      <c r="E526" s="55"/>
      <c r="F526" s="56"/>
    </row>
    <row r="527" spans="1:6" ht="15.75" x14ac:dyDescent="0.25">
      <c r="A527" s="167"/>
      <c r="B527" s="167"/>
      <c r="C527" s="167"/>
      <c r="D527" s="57" t="s">
        <v>57</v>
      </c>
      <c r="E527" s="58"/>
      <c r="F527" s="59">
        <f>SUM(F523:F526)/F520</f>
        <v>593.44208000000003</v>
      </c>
    </row>
    <row r="529" spans="1:6" ht="33" customHeight="1" x14ac:dyDescent="0.25">
      <c r="A529" s="39"/>
      <c r="B529" s="40" t="s">
        <v>16</v>
      </c>
      <c r="C529" s="41"/>
      <c r="D529" s="41"/>
      <c r="E529" s="42" t="s">
        <v>46</v>
      </c>
      <c r="F529" s="43">
        <v>1</v>
      </c>
    </row>
    <row r="530" spans="1:6" s="63" customFormat="1" x14ac:dyDescent="0.25">
      <c r="A530" s="44" t="s">
        <v>47</v>
      </c>
      <c r="B530" s="44" t="s">
        <v>48</v>
      </c>
      <c r="C530" s="44" t="s">
        <v>49</v>
      </c>
      <c r="D530" s="44" t="s">
        <v>50</v>
      </c>
      <c r="E530" s="44" t="s">
        <v>51</v>
      </c>
      <c r="F530" s="44" t="s">
        <v>52</v>
      </c>
    </row>
    <row r="531" spans="1:6" ht="6.75" customHeight="1" x14ac:dyDescent="0.25"/>
    <row r="532" spans="1:6" x14ac:dyDescent="0.25">
      <c r="A532" s="45"/>
      <c r="B532" s="64" t="s">
        <v>53</v>
      </c>
      <c r="C532" s="47">
        <v>0.25</v>
      </c>
      <c r="D532" s="48" t="s">
        <v>106</v>
      </c>
      <c r="E532" s="49">
        <v>1898.49</v>
      </c>
      <c r="F532" s="50">
        <f>C532*E532</f>
        <v>474.6225</v>
      </c>
    </row>
    <row r="533" spans="1:6" x14ac:dyDescent="0.25">
      <c r="A533" s="45"/>
      <c r="B533" s="46" t="s">
        <v>55</v>
      </c>
      <c r="C533" s="47">
        <f>C532</f>
        <v>0.25</v>
      </c>
      <c r="D533" s="48" t="s">
        <v>106</v>
      </c>
      <c r="E533" s="49">
        <v>1024.8699999999999</v>
      </c>
      <c r="F533" s="50">
        <f>C533*E533</f>
        <v>256.21749999999997</v>
      </c>
    </row>
    <row r="534" spans="1:6" x14ac:dyDescent="0.25">
      <c r="A534" s="45"/>
      <c r="B534" s="46" t="s">
        <v>56</v>
      </c>
      <c r="C534" s="47">
        <v>1.4999999999999999E-2</v>
      </c>
      <c r="D534" s="48" t="s">
        <v>10</v>
      </c>
      <c r="E534" s="49">
        <f>SUM(F531:F533)</f>
        <v>730.83999999999992</v>
      </c>
      <c r="F534" s="50">
        <f>C534*E534</f>
        <v>10.962599999999998</v>
      </c>
    </row>
    <row r="535" spans="1:6" x14ac:dyDescent="0.25">
      <c r="A535" s="51"/>
      <c r="B535" s="52"/>
      <c r="C535" s="53"/>
      <c r="D535" s="54"/>
      <c r="E535" s="55"/>
      <c r="F535" s="56"/>
    </row>
    <row r="536" spans="1:6" ht="15.75" x14ac:dyDescent="0.25">
      <c r="A536" s="167"/>
      <c r="B536" s="167"/>
      <c r="C536" s="167"/>
      <c r="D536" s="57" t="s">
        <v>57</v>
      </c>
      <c r="E536" s="58"/>
      <c r="F536" s="59">
        <f>SUM(F532:F535)/F529</f>
        <v>741.80259999999987</v>
      </c>
    </row>
    <row r="538" spans="1:6" x14ac:dyDescent="0.25">
      <c r="A538" s="33">
        <f>+A537+0.01</f>
        <v>0.01</v>
      </c>
      <c r="B538" s="19" t="s">
        <v>187</v>
      </c>
      <c r="C538" s="20">
        <v>1</v>
      </c>
      <c r="D538" s="20" t="s">
        <v>71</v>
      </c>
      <c r="E538" s="21"/>
      <c r="F538" s="21">
        <f>F554/C540</f>
        <v>2673.6562499999995</v>
      </c>
    </row>
    <row r="539" spans="1:6" x14ac:dyDescent="0.25">
      <c r="A539" s="34"/>
      <c r="B539" s="23" t="s">
        <v>174</v>
      </c>
      <c r="C539" s="24"/>
      <c r="D539" s="24"/>
      <c r="E539" s="25"/>
      <c r="F539" s="25"/>
    </row>
    <row r="540" spans="1:6" x14ac:dyDescent="0.25">
      <c r="A540" s="34"/>
      <c r="B540" s="23" t="s">
        <v>73</v>
      </c>
      <c r="C540" s="27">
        <v>35.840000000000003</v>
      </c>
      <c r="D540" s="27" t="s">
        <v>71</v>
      </c>
      <c r="E540" s="25"/>
      <c r="F540" s="25"/>
    </row>
    <row r="541" spans="1:6" x14ac:dyDescent="0.25">
      <c r="A541" s="34"/>
      <c r="B541" s="23" t="s">
        <v>74</v>
      </c>
      <c r="C541" s="27"/>
      <c r="D541" s="27"/>
      <c r="E541" s="25"/>
      <c r="F541" s="25"/>
    </row>
    <row r="542" spans="1:6" x14ac:dyDescent="0.25">
      <c r="A542" s="35"/>
      <c r="B542" s="32" t="s">
        <v>188</v>
      </c>
      <c r="C542" s="27">
        <f>25*2</f>
        <v>50</v>
      </c>
      <c r="D542" s="30" t="s">
        <v>83</v>
      </c>
      <c r="E542" s="65">
        <v>686.06</v>
      </c>
      <c r="F542" s="31">
        <f>ROUND((C542*(E542)),2)</f>
        <v>34303</v>
      </c>
    </row>
    <row r="543" spans="1:6" x14ac:dyDescent="0.25">
      <c r="A543" s="35"/>
      <c r="B543" s="32" t="s">
        <v>189</v>
      </c>
      <c r="C543" s="27">
        <f>39*2</f>
        <v>78</v>
      </c>
      <c r="D543" s="30" t="s">
        <v>83</v>
      </c>
      <c r="E543" s="65">
        <v>243.97</v>
      </c>
      <c r="F543" s="31">
        <f t="shared" ref="F543:F551" si="11">ROUND((C543*(E543)),2)</f>
        <v>19029.66</v>
      </c>
    </row>
    <row r="544" spans="1:6" x14ac:dyDescent="0.25">
      <c r="A544" s="35"/>
      <c r="B544" s="32" t="s">
        <v>190</v>
      </c>
      <c r="C544" s="27">
        <f>13*2</f>
        <v>26</v>
      </c>
      <c r="D544" s="30" t="s">
        <v>83</v>
      </c>
      <c r="E544" s="65">
        <v>179.99</v>
      </c>
      <c r="F544" s="31">
        <f t="shared" si="11"/>
        <v>4679.74</v>
      </c>
    </row>
    <row r="545" spans="1:6" x14ac:dyDescent="0.25">
      <c r="A545" s="35"/>
      <c r="B545" s="32" t="s">
        <v>191</v>
      </c>
      <c r="C545" s="27">
        <v>4</v>
      </c>
      <c r="D545" s="30" t="s">
        <v>83</v>
      </c>
      <c r="E545" s="65">
        <v>158.66999999999999</v>
      </c>
      <c r="F545" s="31">
        <f t="shared" si="11"/>
        <v>634.67999999999995</v>
      </c>
    </row>
    <row r="546" spans="1:6" x14ac:dyDescent="0.25">
      <c r="A546" s="35"/>
      <c r="B546" s="32" t="s">
        <v>192</v>
      </c>
      <c r="C546" s="27">
        <v>8</v>
      </c>
      <c r="D546" s="30" t="s">
        <v>83</v>
      </c>
      <c r="E546" s="65">
        <v>1515.72</v>
      </c>
      <c r="F546" s="31">
        <f t="shared" si="11"/>
        <v>12125.76</v>
      </c>
    </row>
    <row r="547" spans="1:6" x14ac:dyDescent="0.25">
      <c r="A547" s="35"/>
      <c r="B547" s="14" t="s">
        <v>193</v>
      </c>
      <c r="C547" s="27">
        <v>2</v>
      </c>
      <c r="D547" s="30" t="s">
        <v>83</v>
      </c>
      <c r="E547" s="65">
        <v>446.84000000000003</v>
      </c>
      <c r="F547" s="31">
        <f t="shared" si="11"/>
        <v>893.68</v>
      </c>
    </row>
    <row r="548" spans="1:6" x14ac:dyDescent="0.25">
      <c r="A548" s="35"/>
      <c r="B548" s="14" t="s">
        <v>194</v>
      </c>
      <c r="C548" s="27">
        <v>2</v>
      </c>
      <c r="D548" s="30" t="s">
        <v>83</v>
      </c>
      <c r="E548" s="65">
        <v>734.21</v>
      </c>
      <c r="F548" s="31">
        <f t="shared" si="11"/>
        <v>1468.42</v>
      </c>
    </row>
    <row r="549" spans="1:6" x14ac:dyDescent="0.25">
      <c r="A549" s="35"/>
      <c r="B549" s="32" t="s">
        <v>195</v>
      </c>
      <c r="C549" s="27">
        <v>6</v>
      </c>
      <c r="D549" s="30" t="s">
        <v>81</v>
      </c>
      <c r="E549" s="65">
        <v>184</v>
      </c>
      <c r="F549" s="31">
        <f t="shared" si="11"/>
        <v>1104</v>
      </c>
    </row>
    <row r="550" spans="1:6" x14ac:dyDescent="0.25">
      <c r="A550" s="35"/>
      <c r="B550" s="32" t="s">
        <v>196</v>
      </c>
      <c r="C550" s="27">
        <v>4</v>
      </c>
      <c r="D550" s="30" t="s">
        <v>81</v>
      </c>
      <c r="E550" s="65">
        <v>207</v>
      </c>
      <c r="F550" s="31">
        <f t="shared" si="11"/>
        <v>828</v>
      </c>
    </row>
    <row r="551" spans="1:6" x14ac:dyDescent="0.25">
      <c r="A551" s="35"/>
      <c r="B551" s="32" t="s">
        <v>197</v>
      </c>
      <c r="C551" s="27">
        <v>30</v>
      </c>
      <c r="D551" s="30" t="s">
        <v>83</v>
      </c>
      <c r="E551" s="65">
        <v>115.26</v>
      </c>
      <c r="F551" s="31">
        <f t="shared" si="11"/>
        <v>3457.8</v>
      </c>
    </row>
    <row r="552" spans="1:6" x14ac:dyDescent="0.25">
      <c r="A552" s="34"/>
      <c r="B552" s="23" t="s">
        <v>185</v>
      </c>
      <c r="C552" s="27"/>
      <c r="D552" s="27"/>
      <c r="E552" s="25"/>
      <c r="F552" s="31"/>
    </row>
    <row r="553" spans="1:6" x14ac:dyDescent="0.25">
      <c r="A553" s="34"/>
      <c r="B553" s="15" t="s">
        <v>198</v>
      </c>
      <c r="C553" s="27">
        <v>70</v>
      </c>
      <c r="D553" s="27" t="s">
        <v>71</v>
      </c>
      <c r="E553" s="31">
        <v>247.13</v>
      </c>
      <c r="F553" s="31">
        <f>ROUND((C553*(E553)),2)</f>
        <v>17299.099999999999</v>
      </c>
    </row>
    <row r="554" spans="1:6" x14ac:dyDescent="0.25">
      <c r="A554" s="16"/>
      <c r="B554" s="28" t="s">
        <v>87</v>
      </c>
      <c r="C554" s="27"/>
      <c r="D554" s="27"/>
      <c r="E554" s="31"/>
      <c r="F554" s="31">
        <f>SUM(F542:F553)</f>
        <v>95823.84</v>
      </c>
    </row>
    <row r="556" spans="1:6" ht="40.5" customHeight="1" x14ac:dyDescent="0.25">
      <c r="A556" s="39"/>
      <c r="B556" s="40" t="s">
        <v>236</v>
      </c>
      <c r="C556" s="41"/>
      <c r="D556" s="41"/>
      <c r="E556" s="42" t="s">
        <v>46</v>
      </c>
      <c r="F556" s="43">
        <v>1</v>
      </c>
    </row>
    <row r="557" spans="1:6" s="63" customFormat="1" x14ac:dyDescent="0.25">
      <c r="A557" s="44" t="s">
        <v>47</v>
      </c>
      <c r="B557" s="44" t="s">
        <v>48</v>
      </c>
      <c r="C557" s="44" t="s">
        <v>49</v>
      </c>
      <c r="D557" s="44" t="s">
        <v>50</v>
      </c>
      <c r="E557" s="44" t="s">
        <v>51</v>
      </c>
      <c r="F557" s="44" t="s">
        <v>52</v>
      </c>
    </row>
    <row r="558" spans="1:6" ht="6.75" customHeight="1" x14ac:dyDescent="0.25"/>
    <row r="559" spans="1:6" x14ac:dyDescent="0.25">
      <c r="A559" s="45"/>
      <c r="B559" s="46" t="s">
        <v>237</v>
      </c>
      <c r="C559" s="47">
        <f>1.02/2.98</f>
        <v>0.34228187919463088</v>
      </c>
      <c r="D559" s="48" t="s">
        <v>2</v>
      </c>
      <c r="E559" s="49">
        <v>890.9</v>
      </c>
      <c r="F559" s="50">
        <f>C559*E559</f>
        <v>304.93892617449666</v>
      </c>
    </row>
    <row r="560" spans="1:6" x14ac:dyDescent="0.25">
      <c r="A560" s="45"/>
      <c r="B560" s="46" t="s">
        <v>238</v>
      </c>
      <c r="C560" s="47">
        <v>2</v>
      </c>
      <c r="D560" s="48" t="s">
        <v>2</v>
      </c>
      <c r="E560" s="49">
        <v>222.28</v>
      </c>
      <c r="F560" s="50">
        <f t="shared" ref="F560:F568" si="12">C560*E560</f>
        <v>444.56</v>
      </c>
    </row>
    <row r="561" spans="1:6" x14ac:dyDescent="0.25">
      <c r="A561" s="45"/>
      <c r="B561" s="46" t="s">
        <v>239</v>
      </c>
      <c r="C561" s="47">
        <v>0.1</v>
      </c>
      <c r="D561" s="48" t="s">
        <v>2</v>
      </c>
      <c r="E561" s="49">
        <v>542.16279999999995</v>
      </c>
      <c r="F561" s="50">
        <f t="shared" si="12"/>
        <v>54.216279999999998</v>
      </c>
    </row>
    <row r="562" spans="1:6" x14ac:dyDescent="0.25">
      <c r="A562" s="45"/>
      <c r="B562" s="46" t="s">
        <v>240</v>
      </c>
      <c r="C562" s="47">
        <v>0.15</v>
      </c>
      <c r="D562" s="48" t="s">
        <v>241</v>
      </c>
      <c r="E562" s="49">
        <v>1515</v>
      </c>
      <c r="F562" s="50">
        <f t="shared" si="12"/>
        <v>227.25</v>
      </c>
    </row>
    <row r="563" spans="1:6" x14ac:dyDescent="0.25">
      <c r="A563" s="45"/>
      <c r="B563" s="46" t="s">
        <v>242</v>
      </c>
      <c r="C563" s="47">
        <v>5</v>
      </c>
      <c r="D563" s="48" t="s">
        <v>2</v>
      </c>
      <c r="E563" s="49">
        <v>10</v>
      </c>
      <c r="F563" s="50">
        <f t="shared" si="12"/>
        <v>50</v>
      </c>
    </row>
    <row r="564" spans="1:6" x14ac:dyDescent="0.25">
      <c r="A564" s="45"/>
      <c r="B564" s="46" t="s">
        <v>243</v>
      </c>
      <c r="C564" s="47">
        <v>5</v>
      </c>
      <c r="D564" s="48" t="s">
        <v>2</v>
      </c>
      <c r="E564" s="49">
        <v>7.34</v>
      </c>
      <c r="F564" s="50">
        <f t="shared" si="12"/>
        <v>36.700000000000003</v>
      </c>
    </row>
    <row r="565" spans="1:6" x14ac:dyDescent="0.25">
      <c r="A565" s="45"/>
      <c r="B565" s="46" t="s">
        <v>244</v>
      </c>
      <c r="C565" s="47">
        <v>0.35</v>
      </c>
      <c r="D565" s="48" t="s">
        <v>245</v>
      </c>
      <c r="E565" s="49">
        <v>198.13379999999998</v>
      </c>
      <c r="F565" s="50">
        <f t="shared" si="12"/>
        <v>69.346829999999983</v>
      </c>
    </row>
    <row r="566" spans="1:6" x14ac:dyDescent="0.25">
      <c r="A566" s="45"/>
      <c r="B566" s="46" t="s">
        <v>246</v>
      </c>
      <c r="C566" s="47">
        <v>0.35</v>
      </c>
      <c r="D566" s="48" t="s">
        <v>245</v>
      </c>
      <c r="E566" s="49">
        <v>207</v>
      </c>
      <c r="F566" s="50">
        <f t="shared" si="12"/>
        <v>72.449999999999989</v>
      </c>
    </row>
    <row r="567" spans="1:6" x14ac:dyDescent="0.25">
      <c r="A567" s="45"/>
      <c r="B567" s="46" t="s">
        <v>247</v>
      </c>
      <c r="C567" s="47">
        <v>2</v>
      </c>
      <c r="D567" s="48" t="s">
        <v>2</v>
      </c>
      <c r="E567" s="49">
        <v>95</v>
      </c>
      <c r="F567" s="50">
        <f t="shared" si="12"/>
        <v>190</v>
      </c>
    </row>
    <row r="568" spans="1:6" x14ac:dyDescent="0.25">
      <c r="A568" s="45"/>
      <c r="B568" s="46" t="s">
        <v>248</v>
      </c>
      <c r="C568" s="47">
        <f>0.9*2.1</f>
        <v>1.8900000000000001</v>
      </c>
      <c r="D568" s="48" t="s">
        <v>96</v>
      </c>
      <c r="E568" s="49">
        <v>1000</v>
      </c>
      <c r="F568" s="50">
        <f t="shared" si="12"/>
        <v>1890.0000000000002</v>
      </c>
    </row>
    <row r="569" spans="1:6" x14ac:dyDescent="0.25">
      <c r="A569" s="45"/>
      <c r="B569" s="46" t="s">
        <v>56</v>
      </c>
      <c r="C569" s="47">
        <v>1.4999999999999999E-2</v>
      </c>
      <c r="D569" s="48" t="s">
        <v>10</v>
      </c>
      <c r="E569" s="49">
        <f>SUM(F558:F568)</f>
        <v>3339.4620361744969</v>
      </c>
      <c r="F569" s="50">
        <f>C569*E569</f>
        <v>50.091930542617455</v>
      </c>
    </row>
    <row r="570" spans="1:6" x14ac:dyDescent="0.25">
      <c r="A570" s="51"/>
      <c r="B570" s="52"/>
      <c r="C570" s="53"/>
      <c r="D570" s="54"/>
      <c r="E570" s="55"/>
      <c r="F570" s="56"/>
    </row>
    <row r="571" spans="1:6" ht="15.75" x14ac:dyDescent="0.25">
      <c r="A571" s="167"/>
      <c r="B571" s="167"/>
      <c r="C571" s="167"/>
      <c r="D571" s="57" t="s">
        <v>57</v>
      </c>
      <c r="E571" s="58"/>
      <c r="F571" s="59">
        <f>SUM(F559:F570)/F556</f>
        <v>3389.5539667171142</v>
      </c>
    </row>
    <row r="573" spans="1:6" ht="33" customHeight="1" x14ac:dyDescent="0.25">
      <c r="A573" s="39"/>
      <c r="B573" s="40" t="s">
        <v>249</v>
      </c>
      <c r="C573" s="41"/>
      <c r="D573" s="41"/>
      <c r="E573" s="42" t="s">
        <v>46</v>
      </c>
      <c r="F573" s="43">
        <v>1</v>
      </c>
    </row>
    <row r="574" spans="1:6" s="63" customFormat="1" x14ac:dyDescent="0.25">
      <c r="A574" s="44" t="s">
        <v>47</v>
      </c>
      <c r="B574" s="44" t="s">
        <v>48</v>
      </c>
      <c r="C574" s="44" t="s">
        <v>49</v>
      </c>
      <c r="D574" s="44" t="s">
        <v>50</v>
      </c>
      <c r="E574" s="44" t="s">
        <v>51</v>
      </c>
      <c r="F574" s="44" t="s">
        <v>52</v>
      </c>
    </row>
    <row r="575" spans="1:6" ht="6.75" customHeight="1" x14ac:dyDescent="0.25"/>
    <row r="576" spans="1:6" x14ac:dyDescent="0.25">
      <c r="A576" s="45"/>
      <c r="B576" s="46" t="s">
        <v>53</v>
      </c>
      <c r="C576" s="47">
        <v>1</v>
      </c>
      <c r="D576" s="48" t="s">
        <v>106</v>
      </c>
      <c r="E576" s="49">
        <v>1898.49</v>
      </c>
      <c r="F576" s="50">
        <f>C576*E576</f>
        <v>1898.49</v>
      </c>
    </row>
    <row r="577" spans="1:6" x14ac:dyDescent="0.25">
      <c r="A577" s="45"/>
      <c r="B577" s="46" t="s">
        <v>55</v>
      </c>
      <c r="C577" s="47">
        <v>1</v>
      </c>
      <c r="D577" s="48" t="s">
        <v>106</v>
      </c>
      <c r="E577" s="49">
        <v>1024.8699999999999</v>
      </c>
      <c r="F577" s="50">
        <f>C577*E577</f>
        <v>1024.8699999999999</v>
      </c>
    </row>
    <row r="578" spans="1:6" x14ac:dyDescent="0.25">
      <c r="A578" s="45"/>
      <c r="B578" s="46" t="s">
        <v>131</v>
      </c>
      <c r="C578" s="47">
        <v>1</v>
      </c>
      <c r="D578" s="48" t="s">
        <v>202</v>
      </c>
      <c r="E578" s="49">
        <v>1500</v>
      </c>
      <c r="F578" s="50">
        <f>C578*E578</f>
        <v>1500</v>
      </c>
    </row>
    <row r="579" spans="1:6" x14ac:dyDescent="0.25">
      <c r="A579" s="45"/>
      <c r="B579" s="46" t="s">
        <v>56</v>
      </c>
      <c r="C579" s="47">
        <v>1.4999999999999999E-2</v>
      </c>
      <c r="D579" s="48" t="s">
        <v>10</v>
      </c>
      <c r="E579" s="49">
        <f>SUM(F575:F578)</f>
        <v>4423.3599999999997</v>
      </c>
      <c r="F579" s="50">
        <f>C579*E579</f>
        <v>66.350399999999993</v>
      </c>
    </row>
    <row r="580" spans="1:6" x14ac:dyDescent="0.25">
      <c r="A580" s="51"/>
      <c r="B580" s="52"/>
      <c r="C580" s="53"/>
      <c r="D580" s="54"/>
      <c r="E580" s="55"/>
      <c r="F580" s="56"/>
    </row>
    <row r="581" spans="1:6" ht="15.75" x14ac:dyDescent="0.25">
      <c r="A581" s="167"/>
      <c r="B581" s="167"/>
      <c r="C581" s="167"/>
      <c r="D581" s="57" t="s">
        <v>57</v>
      </c>
      <c r="E581" s="58"/>
      <c r="F581" s="59">
        <f>SUM(F576:F580)/F573</f>
        <v>4489.7103999999999</v>
      </c>
    </row>
    <row r="583" spans="1:6" ht="30" customHeight="1" x14ac:dyDescent="0.25">
      <c r="A583" s="39"/>
      <c r="B583" s="40" t="s">
        <v>250</v>
      </c>
      <c r="C583" s="41"/>
      <c r="D583" s="41"/>
      <c r="E583" s="42" t="s">
        <v>46</v>
      </c>
      <c r="F583" s="43">
        <v>1</v>
      </c>
    </row>
    <row r="584" spans="1:6" s="63" customFormat="1" x14ac:dyDescent="0.25">
      <c r="A584" s="44" t="s">
        <v>47</v>
      </c>
      <c r="B584" s="44" t="s">
        <v>48</v>
      </c>
      <c r="C584" s="44" t="s">
        <v>49</v>
      </c>
      <c r="D584" s="44" t="s">
        <v>50</v>
      </c>
      <c r="E584" s="44" t="s">
        <v>51</v>
      </c>
      <c r="F584" s="44" t="s">
        <v>52</v>
      </c>
    </row>
    <row r="585" spans="1:6" ht="6.75" customHeight="1" x14ac:dyDescent="0.25"/>
    <row r="586" spans="1:6" x14ac:dyDescent="0.25">
      <c r="A586" s="45"/>
      <c r="B586" s="28" t="s">
        <v>216</v>
      </c>
      <c r="C586" s="27">
        <v>1.1499999999999999</v>
      </c>
      <c r="D586" s="30" t="s">
        <v>83</v>
      </c>
      <c r="E586" s="49">
        <v>123</v>
      </c>
      <c r="F586" s="50">
        <f>C586*E586</f>
        <v>141.44999999999999</v>
      </c>
    </row>
    <row r="587" spans="1:6" x14ac:dyDescent="0.25">
      <c r="A587" s="45"/>
      <c r="B587" s="28" t="s">
        <v>217</v>
      </c>
      <c r="C587" s="27">
        <v>1</v>
      </c>
      <c r="D587" s="30" t="s">
        <v>83</v>
      </c>
      <c r="E587" s="49">
        <v>45.38</v>
      </c>
      <c r="F587" s="50">
        <f t="shared" ref="F587:F593" si="13">C587*E587</f>
        <v>45.38</v>
      </c>
    </row>
    <row r="588" spans="1:6" x14ac:dyDescent="0.25">
      <c r="A588" s="45"/>
      <c r="B588" s="28" t="s">
        <v>218</v>
      </c>
      <c r="C588" s="27">
        <v>40</v>
      </c>
      <c r="D588" s="30" t="s">
        <v>219</v>
      </c>
      <c r="E588" s="49">
        <v>15.25</v>
      </c>
      <c r="F588" s="50">
        <f t="shared" si="13"/>
        <v>610</v>
      </c>
    </row>
    <row r="589" spans="1:6" x14ac:dyDescent="0.25">
      <c r="A589" s="45"/>
      <c r="B589" s="28" t="s">
        <v>220</v>
      </c>
      <c r="C589" s="27">
        <v>1</v>
      </c>
      <c r="D589" s="30" t="s">
        <v>83</v>
      </c>
      <c r="E589" s="49">
        <v>169</v>
      </c>
      <c r="F589" s="50">
        <f t="shared" si="13"/>
        <v>169</v>
      </c>
    </row>
    <row r="590" spans="1:6" x14ac:dyDescent="0.25">
      <c r="A590" s="45"/>
      <c r="B590" s="28" t="s">
        <v>221</v>
      </c>
      <c r="C590" s="27">
        <v>1</v>
      </c>
      <c r="D590" s="30" t="s">
        <v>83</v>
      </c>
      <c r="E590" s="49">
        <v>25</v>
      </c>
      <c r="F590" s="50">
        <f t="shared" si="13"/>
        <v>25</v>
      </c>
    </row>
    <row r="591" spans="1:6" x14ac:dyDescent="0.25">
      <c r="A591" s="45"/>
      <c r="B591" s="28" t="s">
        <v>222</v>
      </c>
      <c r="C591" s="27">
        <v>0.05</v>
      </c>
      <c r="D591" s="30" t="s">
        <v>83</v>
      </c>
      <c r="E591" s="49">
        <v>450</v>
      </c>
      <c r="F591" s="50">
        <f t="shared" si="13"/>
        <v>22.5</v>
      </c>
    </row>
    <row r="592" spans="1:6" x14ac:dyDescent="0.25">
      <c r="A592" s="45"/>
      <c r="B592" s="28" t="s">
        <v>223</v>
      </c>
      <c r="C592" s="27">
        <v>1.2500000000000001E-2</v>
      </c>
      <c r="D592" s="30" t="s">
        <v>83</v>
      </c>
      <c r="E592" s="49">
        <v>742</v>
      </c>
      <c r="F592" s="50">
        <f t="shared" si="13"/>
        <v>9.2750000000000004</v>
      </c>
    </row>
    <row r="593" spans="1:6" x14ac:dyDescent="0.25">
      <c r="A593" s="45"/>
      <c r="B593" s="28" t="s">
        <v>224</v>
      </c>
      <c r="C593" s="27">
        <v>1</v>
      </c>
      <c r="D593" s="30" t="s">
        <v>83</v>
      </c>
      <c r="E593" s="49">
        <v>589.66</v>
      </c>
      <c r="F593" s="50">
        <f t="shared" si="13"/>
        <v>589.66</v>
      </c>
    </row>
    <row r="594" spans="1:6" x14ac:dyDescent="0.25">
      <c r="A594" s="45"/>
      <c r="B594" s="28" t="s">
        <v>227</v>
      </c>
      <c r="C594" s="27">
        <v>20</v>
      </c>
      <c r="D594" s="30" t="s">
        <v>150</v>
      </c>
      <c r="E594" s="49">
        <f>SUM(F585:F593)</f>
        <v>1612.2649999999999</v>
      </c>
      <c r="F594" s="50">
        <f>C594*E594%</f>
        <v>322.45299999999997</v>
      </c>
    </row>
    <row r="595" spans="1:6" x14ac:dyDescent="0.25">
      <c r="A595" s="51"/>
      <c r="B595" s="52"/>
      <c r="C595" s="53"/>
      <c r="D595" s="54"/>
      <c r="E595" s="55"/>
      <c r="F595" s="56"/>
    </row>
    <row r="596" spans="1:6" ht="15.75" x14ac:dyDescent="0.25">
      <c r="A596" s="167"/>
      <c r="B596" s="167"/>
      <c r="C596" s="167"/>
      <c r="D596" s="57" t="s">
        <v>57</v>
      </c>
      <c r="E596" s="58"/>
      <c r="F596" s="59">
        <f>SUM(F586:F595)/F583</f>
        <v>1934.7179999999998</v>
      </c>
    </row>
    <row r="598" spans="1:6" ht="30" customHeight="1" x14ac:dyDescent="0.25">
      <c r="A598" s="39"/>
      <c r="B598" s="40" t="s">
        <v>17</v>
      </c>
      <c r="C598" s="41"/>
      <c r="D598" s="41"/>
      <c r="E598" s="42" t="s">
        <v>46</v>
      </c>
      <c r="F598" s="43">
        <v>1</v>
      </c>
    </row>
    <row r="599" spans="1:6" s="63" customFormat="1" x14ac:dyDescent="0.25">
      <c r="A599" s="44" t="s">
        <v>47</v>
      </c>
      <c r="B599" s="44" t="s">
        <v>48</v>
      </c>
      <c r="C599" s="44" t="s">
        <v>49</v>
      </c>
      <c r="D599" s="44" t="s">
        <v>50</v>
      </c>
      <c r="E599" s="44" t="s">
        <v>51</v>
      </c>
      <c r="F599" s="44" t="s">
        <v>52</v>
      </c>
    </row>
    <row r="600" spans="1:6" ht="6.75" customHeight="1" x14ac:dyDescent="0.25"/>
    <row r="601" spans="1:6" x14ac:dyDescent="0.25">
      <c r="A601" s="45"/>
      <c r="B601" s="46" t="s">
        <v>251</v>
      </c>
      <c r="C601" s="47">
        <v>2</v>
      </c>
      <c r="D601" s="48" t="s">
        <v>54</v>
      </c>
      <c r="E601" s="49">
        <v>797.39</v>
      </c>
      <c r="F601" s="50">
        <f>C601*E601</f>
        <v>1594.78</v>
      </c>
    </row>
    <row r="602" spans="1:6" x14ac:dyDescent="0.25">
      <c r="A602" s="45"/>
      <c r="B602" s="46" t="s">
        <v>171</v>
      </c>
      <c r="C602" s="47">
        <v>1</v>
      </c>
      <c r="D602" s="48" t="s">
        <v>252</v>
      </c>
      <c r="E602" s="49">
        <v>2500</v>
      </c>
      <c r="F602" s="50">
        <f>C602*E602</f>
        <v>2500</v>
      </c>
    </row>
    <row r="603" spans="1:6" x14ac:dyDescent="0.25">
      <c r="A603" s="45"/>
      <c r="B603" s="46" t="s">
        <v>56</v>
      </c>
      <c r="C603" s="47">
        <v>1.4999999999999999E-2</v>
      </c>
      <c r="D603" s="48" t="s">
        <v>10</v>
      </c>
      <c r="E603" s="49">
        <f>SUM(F600:F602)</f>
        <v>4094.7799999999997</v>
      </c>
      <c r="F603" s="50">
        <f>C603*E603</f>
        <v>61.421699999999994</v>
      </c>
    </row>
    <row r="604" spans="1:6" x14ac:dyDescent="0.25">
      <c r="A604" s="51"/>
      <c r="B604" s="52"/>
      <c r="C604" s="53"/>
      <c r="D604" s="54"/>
      <c r="E604" s="55"/>
      <c r="F604" s="56"/>
    </row>
    <row r="605" spans="1:6" ht="15.75" x14ac:dyDescent="0.25">
      <c r="A605" s="167"/>
      <c r="B605" s="167"/>
      <c r="C605" s="167"/>
      <c r="D605" s="57" t="s">
        <v>57</v>
      </c>
      <c r="E605" s="58"/>
      <c r="F605" s="59">
        <f>SUM(F601:F604)/F598</f>
        <v>4156.2016999999996</v>
      </c>
    </row>
    <row r="607" spans="1:6" ht="24" customHeight="1" x14ac:dyDescent="0.25">
      <c r="B607" s="60" t="s">
        <v>18</v>
      </c>
    </row>
    <row r="608" spans="1:6" ht="30" customHeight="1" x14ac:dyDescent="0.25">
      <c r="A608" s="39"/>
      <c r="B608" s="40" t="s">
        <v>253</v>
      </c>
      <c r="C608" s="41"/>
      <c r="D608" s="41"/>
      <c r="E608" s="42" t="s">
        <v>46</v>
      </c>
      <c r="F608" s="43">
        <v>1</v>
      </c>
    </row>
    <row r="609" spans="1:6" s="63" customFormat="1" x14ac:dyDescent="0.25">
      <c r="A609" s="44" t="s">
        <v>47</v>
      </c>
      <c r="B609" s="44" t="s">
        <v>48</v>
      </c>
      <c r="C609" s="44" t="s">
        <v>49</v>
      </c>
      <c r="D609" s="44" t="s">
        <v>50</v>
      </c>
      <c r="E609" s="44" t="s">
        <v>51</v>
      </c>
      <c r="F609" s="44" t="s">
        <v>52</v>
      </c>
    </row>
    <row r="610" spans="1:6" ht="6.75" customHeight="1" x14ac:dyDescent="0.25"/>
    <row r="611" spans="1:6" x14ac:dyDescent="0.25">
      <c r="A611" s="45"/>
      <c r="B611" s="46" t="s">
        <v>254</v>
      </c>
      <c r="C611" s="47">
        <f>1/16</f>
        <v>6.25E-2</v>
      </c>
      <c r="D611" s="48" t="s">
        <v>204</v>
      </c>
      <c r="E611" s="49">
        <v>1300</v>
      </c>
      <c r="F611" s="50">
        <f t="shared" ref="F611:F616" si="14">C611*E611</f>
        <v>81.25</v>
      </c>
    </row>
    <row r="612" spans="1:6" x14ac:dyDescent="0.25">
      <c r="A612" s="45"/>
      <c r="B612" s="46" t="s">
        <v>255</v>
      </c>
      <c r="C612" s="47">
        <f>C611*0.1</f>
        <v>6.2500000000000003E-3</v>
      </c>
      <c r="D612" s="48" t="s">
        <v>204</v>
      </c>
      <c r="E612" s="49">
        <f>E611</f>
        <v>1300</v>
      </c>
      <c r="F612" s="50">
        <f t="shared" si="14"/>
        <v>8.125</v>
      </c>
    </row>
    <row r="613" spans="1:6" x14ac:dyDescent="0.25">
      <c r="A613" s="45"/>
      <c r="B613" s="46" t="s">
        <v>256</v>
      </c>
      <c r="C613" s="47">
        <v>1</v>
      </c>
      <c r="D613" s="48" t="s">
        <v>96</v>
      </c>
      <c r="E613" s="49">
        <v>39.4</v>
      </c>
      <c r="F613" s="50">
        <f t="shared" si="14"/>
        <v>39.4</v>
      </c>
    </row>
    <row r="614" spans="1:6" x14ac:dyDescent="0.25">
      <c r="A614" s="45"/>
      <c r="B614" s="46" t="s">
        <v>257</v>
      </c>
      <c r="C614" s="47">
        <v>1</v>
      </c>
      <c r="D614" s="48" t="s">
        <v>96</v>
      </c>
      <c r="E614" s="49">
        <v>26.26</v>
      </c>
      <c r="F614" s="50">
        <f t="shared" si="14"/>
        <v>26.26</v>
      </c>
    </row>
    <row r="615" spans="1:6" x14ac:dyDescent="0.25">
      <c r="A615" s="45"/>
      <c r="B615" s="46" t="s">
        <v>131</v>
      </c>
      <c r="C615" s="47">
        <v>1</v>
      </c>
      <c r="D615" s="48" t="s">
        <v>96</v>
      </c>
      <c r="E615" s="49">
        <v>18</v>
      </c>
      <c r="F615" s="50">
        <f t="shared" si="14"/>
        <v>18</v>
      </c>
    </row>
    <row r="616" spans="1:6" x14ac:dyDescent="0.25">
      <c r="A616" s="45"/>
      <c r="B616" s="46" t="s">
        <v>56</v>
      </c>
      <c r="C616" s="47">
        <v>1.4999999999999999E-2</v>
      </c>
      <c r="D616" s="48" t="s">
        <v>10</v>
      </c>
      <c r="E616" s="49">
        <f>SUM(F610:F615)</f>
        <v>173.035</v>
      </c>
      <c r="F616" s="50">
        <f t="shared" si="14"/>
        <v>2.5955249999999999</v>
      </c>
    </row>
    <row r="617" spans="1:6" x14ac:dyDescent="0.25">
      <c r="A617" s="51"/>
      <c r="B617" s="52"/>
      <c r="C617" s="53"/>
      <c r="D617" s="54"/>
      <c r="E617" s="55"/>
      <c r="F617" s="56"/>
    </row>
    <row r="618" spans="1:6" ht="15.75" x14ac:dyDescent="0.25">
      <c r="A618" s="167"/>
      <c r="B618" s="167"/>
      <c r="C618" s="167"/>
      <c r="D618" s="57" t="s">
        <v>69</v>
      </c>
      <c r="E618" s="58"/>
      <c r="F618" s="59">
        <f>SUM(F611:F617)/F608</f>
        <v>175.63052500000001</v>
      </c>
    </row>
    <row r="620" spans="1:6" ht="30" customHeight="1" x14ac:dyDescent="0.25">
      <c r="A620" s="39"/>
      <c r="B620" s="40" t="s">
        <v>258</v>
      </c>
      <c r="C620" s="41"/>
      <c r="D620" s="41"/>
      <c r="E620" s="42" t="s">
        <v>46</v>
      </c>
      <c r="F620" s="43">
        <v>1</v>
      </c>
    </row>
    <row r="621" spans="1:6" s="63" customFormat="1" x14ac:dyDescent="0.25">
      <c r="A621" s="44" t="s">
        <v>47</v>
      </c>
      <c r="B621" s="44" t="s">
        <v>48</v>
      </c>
      <c r="C621" s="44" t="s">
        <v>49</v>
      </c>
      <c r="D621" s="44" t="s">
        <v>50</v>
      </c>
      <c r="E621" s="44" t="s">
        <v>51</v>
      </c>
      <c r="F621" s="44" t="s">
        <v>52</v>
      </c>
    </row>
    <row r="622" spans="1:6" ht="6.75" customHeight="1" x14ac:dyDescent="0.25"/>
    <row r="623" spans="1:6" x14ac:dyDescent="0.25">
      <c r="A623" s="45"/>
      <c r="B623" s="46" t="s">
        <v>259</v>
      </c>
      <c r="C623" s="47">
        <f>1/16</f>
        <v>6.25E-2</v>
      </c>
      <c r="D623" s="48" t="s">
        <v>204</v>
      </c>
      <c r="E623" s="49">
        <v>1500</v>
      </c>
      <c r="F623" s="50">
        <f t="shared" ref="F623:F628" si="15">C623*E623</f>
        <v>93.75</v>
      </c>
    </row>
    <row r="624" spans="1:6" x14ac:dyDescent="0.25">
      <c r="A624" s="45"/>
      <c r="B624" s="46" t="s">
        <v>255</v>
      </c>
      <c r="C624" s="47">
        <f>C623*0.1</f>
        <v>6.2500000000000003E-3</v>
      </c>
      <c r="D624" s="48" t="s">
        <v>204</v>
      </c>
      <c r="E624" s="49">
        <f>E623</f>
        <v>1500</v>
      </c>
      <c r="F624" s="50">
        <f t="shared" si="15"/>
        <v>9.375</v>
      </c>
    </row>
    <row r="625" spans="1:6" x14ac:dyDescent="0.25">
      <c r="A625" s="45"/>
      <c r="B625" s="46" t="s">
        <v>256</v>
      </c>
      <c r="C625" s="47">
        <v>1</v>
      </c>
      <c r="D625" s="48" t="s">
        <v>96</v>
      </c>
      <c r="E625" s="49">
        <v>39.4</v>
      </c>
      <c r="F625" s="50">
        <f t="shared" si="15"/>
        <v>39.4</v>
      </c>
    </row>
    <row r="626" spans="1:6" x14ac:dyDescent="0.25">
      <c r="A626" s="45"/>
      <c r="B626" s="46" t="s">
        <v>257</v>
      </c>
      <c r="C626" s="47">
        <v>1</v>
      </c>
      <c r="D626" s="48" t="s">
        <v>96</v>
      </c>
      <c r="E626" s="49">
        <v>26.26</v>
      </c>
      <c r="F626" s="50">
        <f t="shared" si="15"/>
        <v>26.26</v>
      </c>
    </row>
    <row r="627" spans="1:6" x14ac:dyDescent="0.25">
      <c r="A627" s="45"/>
      <c r="B627" s="46" t="s">
        <v>131</v>
      </c>
      <c r="C627" s="47">
        <v>1</v>
      </c>
      <c r="D627" s="48" t="s">
        <v>96</v>
      </c>
      <c r="E627" s="49">
        <v>18</v>
      </c>
      <c r="F627" s="50">
        <f t="shared" si="15"/>
        <v>18</v>
      </c>
    </row>
    <row r="628" spans="1:6" x14ac:dyDescent="0.25">
      <c r="A628" s="45"/>
      <c r="B628" s="46" t="s">
        <v>56</v>
      </c>
      <c r="C628" s="47">
        <v>1.4999999999999999E-2</v>
      </c>
      <c r="D628" s="48" t="s">
        <v>10</v>
      </c>
      <c r="E628" s="49">
        <f>SUM(F622:F627)</f>
        <v>186.785</v>
      </c>
      <c r="F628" s="50">
        <f t="shared" si="15"/>
        <v>2.8017749999999997</v>
      </c>
    </row>
    <row r="629" spans="1:6" x14ac:dyDescent="0.25">
      <c r="A629" s="51"/>
      <c r="B629" s="52"/>
      <c r="C629" s="53"/>
      <c r="D629" s="54"/>
      <c r="E629" s="55"/>
      <c r="F629" s="56"/>
    </row>
    <row r="630" spans="1:6" ht="15.75" x14ac:dyDescent="0.25">
      <c r="A630" s="167"/>
      <c r="B630" s="167"/>
      <c r="C630" s="167"/>
      <c r="D630" s="57" t="s">
        <v>69</v>
      </c>
      <c r="E630" s="58"/>
      <c r="F630" s="59">
        <f>SUM(F623:F629)/F620</f>
        <v>189.58677499999999</v>
      </c>
    </row>
    <row r="632" spans="1:6" ht="30" customHeight="1" x14ac:dyDescent="0.25">
      <c r="A632" s="39"/>
      <c r="B632" s="40" t="s">
        <v>260</v>
      </c>
      <c r="C632" s="41"/>
      <c r="D632" s="41"/>
      <c r="E632" s="42" t="s">
        <v>46</v>
      </c>
      <c r="F632" s="43">
        <v>1</v>
      </c>
    </row>
    <row r="633" spans="1:6" s="63" customFormat="1" x14ac:dyDescent="0.25">
      <c r="A633" s="44" t="s">
        <v>47</v>
      </c>
      <c r="B633" s="44" t="s">
        <v>48</v>
      </c>
      <c r="C633" s="44" t="s">
        <v>49</v>
      </c>
      <c r="D633" s="44" t="s">
        <v>50</v>
      </c>
      <c r="E633" s="44" t="s">
        <v>51</v>
      </c>
      <c r="F633" s="44" t="s">
        <v>52</v>
      </c>
    </row>
    <row r="634" spans="1:6" ht="6.75" customHeight="1" x14ac:dyDescent="0.25"/>
    <row r="635" spans="1:6" x14ac:dyDescent="0.25">
      <c r="A635" s="45"/>
      <c r="B635" s="46" t="s">
        <v>259</v>
      </c>
      <c r="C635" s="47">
        <f>1/16</f>
        <v>6.25E-2</v>
      </c>
      <c r="D635" s="48" t="s">
        <v>204</v>
      </c>
      <c r="E635" s="49">
        <v>1500</v>
      </c>
      <c r="F635" s="50">
        <f t="shared" ref="F635:F641" si="16">C635*E635</f>
        <v>93.75</v>
      </c>
    </row>
    <row r="636" spans="1:6" x14ac:dyDescent="0.25">
      <c r="A636" s="45"/>
      <c r="B636" s="46" t="s">
        <v>255</v>
      </c>
      <c r="C636" s="47">
        <f>C635*0.1</f>
        <v>6.2500000000000003E-3</v>
      </c>
      <c r="D636" s="48" t="s">
        <v>204</v>
      </c>
      <c r="E636" s="49">
        <f>E635</f>
        <v>1500</v>
      </c>
      <c r="F636" s="50">
        <f t="shared" si="16"/>
        <v>9.375</v>
      </c>
    </row>
    <row r="637" spans="1:6" x14ac:dyDescent="0.25">
      <c r="A637" s="45"/>
      <c r="B637" s="46" t="s">
        <v>256</v>
      </c>
      <c r="C637" s="47">
        <v>1</v>
      </c>
      <c r="D637" s="48" t="s">
        <v>96</v>
      </c>
      <c r="E637" s="49">
        <v>39.4</v>
      </c>
      <c r="F637" s="50">
        <f t="shared" si="16"/>
        <v>39.4</v>
      </c>
    </row>
    <row r="638" spans="1:6" x14ac:dyDescent="0.25">
      <c r="A638" s="45"/>
      <c r="B638" s="46" t="s">
        <v>257</v>
      </c>
      <c r="C638" s="47">
        <v>1</v>
      </c>
      <c r="D638" s="48" t="s">
        <v>96</v>
      </c>
      <c r="E638" s="49">
        <v>26.26</v>
      </c>
      <c r="F638" s="50">
        <f t="shared" si="16"/>
        <v>26.26</v>
      </c>
    </row>
    <row r="639" spans="1:6" x14ac:dyDescent="0.25">
      <c r="A639" s="45"/>
      <c r="B639" s="46" t="s">
        <v>131</v>
      </c>
      <c r="C639" s="47">
        <v>1</v>
      </c>
      <c r="D639" s="48" t="s">
        <v>96</v>
      </c>
      <c r="E639" s="49">
        <v>18</v>
      </c>
      <c r="F639" s="50">
        <f t="shared" si="16"/>
        <v>18</v>
      </c>
    </row>
    <row r="640" spans="1:6" x14ac:dyDescent="0.25">
      <c r="A640" s="45"/>
      <c r="B640" s="46" t="s">
        <v>261</v>
      </c>
      <c r="C640" s="47">
        <v>1</v>
      </c>
      <c r="D640" s="48" t="s">
        <v>96</v>
      </c>
      <c r="E640" s="49">
        <v>40</v>
      </c>
      <c r="F640" s="50">
        <f t="shared" si="16"/>
        <v>40</v>
      </c>
    </row>
    <row r="641" spans="1:6" x14ac:dyDescent="0.25">
      <c r="A641" s="45"/>
      <c r="B641" s="46" t="s">
        <v>56</v>
      </c>
      <c r="C641" s="47">
        <v>1.4999999999999999E-2</v>
      </c>
      <c r="D641" s="48" t="s">
        <v>10</v>
      </c>
      <c r="E641" s="49">
        <f>SUM(F634:F639)</f>
        <v>186.785</v>
      </c>
      <c r="F641" s="50">
        <f t="shared" si="16"/>
        <v>2.8017749999999997</v>
      </c>
    </row>
    <row r="642" spans="1:6" x14ac:dyDescent="0.25">
      <c r="A642" s="51"/>
      <c r="B642" s="52"/>
      <c r="C642" s="53"/>
      <c r="D642" s="54"/>
      <c r="E642" s="55"/>
      <c r="F642" s="56"/>
    </row>
    <row r="643" spans="1:6" ht="15.75" x14ac:dyDescent="0.25">
      <c r="A643" s="167"/>
      <c r="B643" s="167"/>
      <c r="C643" s="167"/>
      <c r="D643" s="57" t="s">
        <v>69</v>
      </c>
      <c r="E643" s="58"/>
      <c r="F643" s="59">
        <f>SUM(F635:F642)/F632</f>
        <v>229.58677499999999</v>
      </c>
    </row>
    <row r="645" spans="1:6" x14ac:dyDescent="0.25">
      <c r="B645" s="60" t="s">
        <v>262</v>
      </c>
    </row>
    <row r="646" spans="1:6" ht="16.5" customHeight="1" x14ac:dyDescent="0.25">
      <c r="A646" s="39"/>
      <c r="B646" s="40" t="s">
        <v>263</v>
      </c>
      <c r="C646" s="41"/>
      <c r="D646" s="41"/>
      <c r="E646" s="42" t="s">
        <v>46</v>
      </c>
      <c r="F646" s="43">
        <v>3.63</v>
      </c>
    </row>
    <row r="647" spans="1:6" s="63" customFormat="1" x14ac:dyDescent="0.25">
      <c r="A647" s="44" t="s">
        <v>47</v>
      </c>
      <c r="B647" s="44" t="s">
        <v>48</v>
      </c>
      <c r="C647" s="44" t="s">
        <v>49</v>
      </c>
      <c r="D647" s="44" t="s">
        <v>50</v>
      </c>
      <c r="E647" s="44" t="s">
        <v>51</v>
      </c>
      <c r="F647" s="44" t="s">
        <v>52</v>
      </c>
    </row>
    <row r="648" spans="1:6" ht="6.75" customHeight="1" x14ac:dyDescent="0.25"/>
    <row r="649" spans="1:6" x14ac:dyDescent="0.25">
      <c r="A649" s="45"/>
      <c r="B649" s="46" t="s">
        <v>264</v>
      </c>
      <c r="C649" s="47">
        <v>1</v>
      </c>
      <c r="D649" s="48" t="s">
        <v>54</v>
      </c>
      <c r="E649" s="49">
        <f>1518.55*2</f>
        <v>3037.1</v>
      </c>
      <c r="F649" s="50">
        <f>C649*E649</f>
        <v>3037.1</v>
      </c>
    </row>
    <row r="650" spans="1:6" x14ac:dyDescent="0.25">
      <c r="A650" s="45"/>
      <c r="B650" s="46" t="s">
        <v>65</v>
      </c>
      <c r="C650" s="47">
        <v>1</v>
      </c>
      <c r="D650" s="48" t="s">
        <v>54</v>
      </c>
      <c r="E650" s="49">
        <f>797.39*2</f>
        <v>1594.78</v>
      </c>
      <c r="F650" s="50">
        <f>C650*E650</f>
        <v>1594.78</v>
      </c>
    </row>
    <row r="651" spans="1:6" x14ac:dyDescent="0.25">
      <c r="A651" s="45"/>
      <c r="B651" s="46" t="s">
        <v>60</v>
      </c>
      <c r="C651" s="47">
        <f>C649*0.2</f>
        <v>0.2</v>
      </c>
      <c r="D651" s="48" t="s">
        <v>54</v>
      </c>
      <c r="E651" s="49">
        <v>2392.17</v>
      </c>
      <c r="F651" s="50">
        <f>C651*E651</f>
        <v>478.43400000000003</v>
      </c>
    </row>
    <row r="652" spans="1:6" x14ac:dyDescent="0.25">
      <c r="A652" s="45"/>
      <c r="B652" s="46" t="s">
        <v>66</v>
      </c>
      <c r="C652" s="47">
        <v>1</v>
      </c>
      <c r="D652" s="48" t="s">
        <v>54</v>
      </c>
      <c r="E652" s="49">
        <v>2500</v>
      </c>
      <c r="F652" s="50">
        <f>C652*E652</f>
        <v>2500</v>
      </c>
    </row>
    <row r="653" spans="1:6" x14ac:dyDescent="0.25">
      <c r="A653" s="45"/>
      <c r="B653" s="46" t="s">
        <v>56</v>
      </c>
      <c r="C653" s="47">
        <v>1.4999999999999999E-2</v>
      </c>
      <c r="D653" s="48" t="s">
        <v>10</v>
      </c>
      <c r="E653" s="49">
        <f>SUM(F648:F652)</f>
        <v>7610.3140000000003</v>
      </c>
      <c r="F653" s="50">
        <f>C653*E653</f>
        <v>114.15470999999999</v>
      </c>
    </row>
    <row r="654" spans="1:6" x14ac:dyDescent="0.25">
      <c r="A654" s="51"/>
      <c r="B654" s="52"/>
      <c r="C654" s="53"/>
      <c r="D654" s="54"/>
      <c r="E654" s="55"/>
      <c r="F654" s="56"/>
    </row>
    <row r="655" spans="1:6" ht="15.75" x14ac:dyDescent="0.25">
      <c r="A655" s="167"/>
      <c r="B655" s="167"/>
      <c r="C655" s="167"/>
      <c r="D655" s="57" t="s">
        <v>67</v>
      </c>
      <c r="E655" s="58"/>
      <c r="F655" s="59">
        <f>SUM(F649:F654)/F646</f>
        <v>2127.9528126721766</v>
      </c>
    </row>
    <row r="657" spans="1:6" ht="42" customHeight="1" x14ac:dyDescent="0.25">
      <c r="A657" s="39"/>
      <c r="B657" s="40" t="s">
        <v>265</v>
      </c>
      <c r="C657" s="41"/>
      <c r="D657" s="41"/>
      <c r="E657" s="42" t="s">
        <v>46</v>
      </c>
      <c r="F657" s="43">
        <v>1</v>
      </c>
    </row>
    <row r="658" spans="1:6" s="63" customFormat="1" x14ac:dyDescent="0.25">
      <c r="A658" s="44" t="s">
        <v>47</v>
      </c>
      <c r="B658" s="44" t="s">
        <v>48</v>
      </c>
      <c r="C658" s="44" t="s">
        <v>49</v>
      </c>
      <c r="D658" s="44" t="s">
        <v>50</v>
      </c>
      <c r="E658" s="44" t="s">
        <v>51</v>
      </c>
      <c r="F658" s="44" t="s">
        <v>52</v>
      </c>
    </row>
    <row r="659" spans="1:6" ht="6.75" customHeight="1" x14ac:dyDescent="0.25"/>
    <row r="660" spans="1:6" x14ac:dyDescent="0.25">
      <c r="A660" s="45"/>
      <c r="B660" s="46" t="s">
        <v>266</v>
      </c>
      <c r="C660" s="47">
        <v>1.05</v>
      </c>
      <c r="D660" s="48" t="s">
        <v>96</v>
      </c>
      <c r="E660" s="49">
        <v>1390</v>
      </c>
      <c r="F660" s="50">
        <f>C660*E660</f>
        <v>1459.5</v>
      </c>
    </row>
    <row r="661" spans="1:6" x14ac:dyDescent="0.25">
      <c r="A661" s="45"/>
      <c r="B661" s="46" t="s">
        <v>267</v>
      </c>
      <c r="C661" s="47">
        <v>3</v>
      </c>
      <c r="D661" s="48" t="s">
        <v>2</v>
      </c>
      <c r="E661" s="49">
        <v>35</v>
      </c>
      <c r="F661" s="50">
        <f t="shared" ref="F661:F669" si="17">C661*E661</f>
        <v>105</v>
      </c>
    </row>
    <row r="662" spans="1:6" x14ac:dyDescent="0.25">
      <c r="A662" s="45"/>
      <c r="B662" s="46" t="s">
        <v>80</v>
      </c>
      <c r="C662" s="47">
        <v>0.05</v>
      </c>
      <c r="D662" s="48" t="s">
        <v>268</v>
      </c>
      <c r="E662" s="49">
        <v>150</v>
      </c>
      <c r="F662" s="50">
        <f t="shared" si="17"/>
        <v>7.5</v>
      </c>
    </row>
    <row r="663" spans="1:6" x14ac:dyDescent="0.25">
      <c r="A663" s="45"/>
      <c r="B663" s="46" t="s">
        <v>269</v>
      </c>
      <c r="C663" s="47">
        <v>1</v>
      </c>
      <c r="D663" s="48" t="s">
        <v>96</v>
      </c>
      <c r="E663" s="49">
        <v>426.29</v>
      </c>
      <c r="F663" s="50">
        <f t="shared" si="17"/>
        <v>426.29</v>
      </c>
    </row>
    <row r="664" spans="1:6" x14ac:dyDescent="0.25">
      <c r="A664" s="45"/>
      <c r="B664" s="46" t="s">
        <v>270</v>
      </c>
      <c r="C664" s="47">
        <v>0.16669999999999999</v>
      </c>
      <c r="D664" s="48" t="s">
        <v>62</v>
      </c>
      <c r="E664" s="49">
        <v>285</v>
      </c>
      <c r="F664" s="50">
        <f t="shared" si="17"/>
        <v>47.509499999999996</v>
      </c>
    </row>
    <row r="665" spans="1:6" x14ac:dyDescent="0.25">
      <c r="A665" s="45"/>
      <c r="B665" s="46" t="s">
        <v>271</v>
      </c>
      <c r="C665" s="47">
        <v>6.9900000000000004E-2</v>
      </c>
      <c r="D665" s="48" t="s">
        <v>62</v>
      </c>
      <c r="E665" s="49">
        <v>335</v>
      </c>
      <c r="F665" s="50">
        <f t="shared" si="17"/>
        <v>23.416500000000003</v>
      </c>
    </row>
    <row r="666" spans="1:6" x14ac:dyDescent="0.25">
      <c r="A666" s="45"/>
      <c r="B666" s="46" t="s">
        <v>272</v>
      </c>
      <c r="C666" s="47">
        <f>C663</f>
        <v>1</v>
      </c>
      <c r="D666" s="48" t="s">
        <v>96</v>
      </c>
      <c r="E666" s="49">
        <v>7.5</v>
      </c>
      <c r="F666" s="50">
        <f t="shared" si="17"/>
        <v>7.5</v>
      </c>
    </row>
    <row r="667" spans="1:6" x14ac:dyDescent="0.25">
      <c r="A667" s="45"/>
      <c r="B667" s="46" t="s">
        <v>273</v>
      </c>
      <c r="C667" s="47">
        <f>C664</f>
        <v>0.16669999999999999</v>
      </c>
      <c r="D667" s="48" t="s">
        <v>62</v>
      </c>
      <c r="E667" s="49">
        <v>5.5</v>
      </c>
      <c r="F667" s="50">
        <f t="shared" si="17"/>
        <v>0.91684999999999994</v>
      </c>
    </row>
    <row r="668" spans="1:6" x14ac:dyDescent="0.25">
      <c r="A668" s="45"/>
      <c r="B668" s="46" t="s">
        <v>274</v>
      </c>
      <c r="C668" s="47">
        <f>C665</f>
        <v>6.9900000000000004E-2</v>
      </c>
      <c r="D668" s="48" t="s">
        <v>62</v>
      </c>
      <c r="E668" s="49">
        <v>5.5</v>
      </c>
      <c r="F668" s="50">
        <f t="shared" si="17"/>
        <v>0.38445000000000001</v>
      </c>
    </row>
    <row r="669" spans="1:6" x14ac:dyDescent="0.25">
      <c r="A669" s="45"/>
      <c r="B669" s="46" t="s">
        <v>56</v>
      </c>
      <c r="C669" s="47">
        <v>1.4999999999999999E-2</v>
      </c>
      <c r="D669" s="48" t="s">
        <v>10</v>
      </c>
      <c r="E669" s="49">
        <f>SUM(F659:F668)</f>
        <v>2078.0173</v>
      </c>
      <c r="F669" s="50">
        <f t="shared" si="17"/>
        <v>31.1702595</v>
      </c>
    </row>
    <row r="670" spans="1:6" x14ac:dyDescent="0.25">
      <c r="A670" s="51"/>
      <c r="B670" s="52"/>
      <c r="C670" s="53"/>
      <c r="D670" s="54"/>
      <c r="E670" s="55"/>
      <c r="F670" s="56"/>
    </row>
    <row r="671" spans="1:6" ht="15.75" x14ac:dyDescent="0.25">
      <c r="A671" s="167"/>
      <c r="B671" s="167"/>
      <c r="C671" s="167"/>
      <c r="D671" s="57" t="s">
        <v>69</v>
      </c>
      <c r="E671" s="58"/>
      <c r="F671" s="59">
        <f>SUM(F660:F670)/F657</f>
        <v>2109.1875595000001</v>
      </c>
    </row>
    <row r="673" spans="1:6" ht="33" customHeight="1" x14ac:dyDescent="0.25">
      <c r="A673" s="39"/>
      <c r="B673" s="40" t="s">
        <v>275</v>
      </c>
      <c r="C673" s="41"/>
      <c r="D673" s="41"/>
      <c r="E673" s="42" t="s">
        <v>46</v>
      </c>
      <c r="F673" s="43">
        <v>1</v>
      </c>
    </row>
    <row r="674" spans="1:6" s="63" customFormat="1" x14ac:dyDescent="0.25">
      <c r="A674" s="44" t="s">
        <v>47</v>
      </c>
      <c r="B674" s="44" t="s">
        <v>48</v>
      </c>
      <c r="C674" s="44" t="s">
        <v>49</v>
      </c>
      <c r="D674" s="44" t="s">
        <v>50</v>
      </c>
      <c r="E674" s="44" t="s">
        <v>51</v>
      </c>
      <c r="F674" s="44" t="s">
        <v>52</v>
      </c>
    </row>
    <row r="675" spans="1:6" ht="6.75" customHeight="1" x14ac:dyDescent="0.25"/>
    <row r="676" spans="1:6" x14ac:dyDescent="0.25">
      <c r="A676" s="45"/>
      <c r="B676" s="46" t="s">
        <v>276</v>
      </c>
      <c r="C676" s="47">
        <f>0.1*1.05</f>
        <v>0.10500000000000001</v>
      </c>
      <c r="D676" s="48" t="s">
        <v>96</v>
      </c>
      <c r="E676" s="49">
        <v>1390</v>
      </c>
      <c r="F676" s="50">
        <f>C676*E676</f>
        <v>145.95000000000002</v>
      </c>
    </row>
    <row r="677" spans="1:6" x14ac:dyDescent="0.25">
      <c r="A677" s="45"/>
      <c r="B677" s="46" t="s">
        <v>267</v>
      </c>
      <c r="C677" s="47">
        <f>3*C676</f>
        <v>0.31500000000000006</v>
      </c>
      <c r="D677" s="48" t="s">
        <v>2</v>
      </c>
      <c r="E677" s="49">
        <v>35</v>
      </c>
      <c r="F677" s="50">
        <f t="shared" ref="F677:F685" si="18">C677*E677</f>
        <v>11.025000000000002</v>
      </c>
    </row>
    <row r="678" spans="1:6" x14ac:dyDescent="0.25">
      <c r="A678" s="45"/>
      <c r="B678" s="46" t="s">
        <v>80</v>
      </c>
      <c r="C678" s="47">
        <f>0.05*C676</f>
        <v>5.2500000000000012E-3</v>
      </c>
      <c r="D678" s="48" t="s">
        <v>268</v>
      </c>
      <c r="E678" s="49">
        <v>150</v>
      </c>
      <c r="F678" s="50">
        <f t="shared" si="18"/>
        <v>0.7875000000000002</v>
      </c>
    </row>
    <row r="679" spans="1:6" x14ac:dyDescent="0.25">
      <c r="A679" s="45"/>
      <c r="B679" s="46" t="s">
        <v>269</v>
      </c>
      <c r="C679" s="47">
        <v>1</v>
      </c>
      <c r="D679" s="48" t="s">
        <v>19</v>
      </c>
      <c r="E679" s="49">
        <v>104.52</v>
      </c>
      <c r="F679" s="50">
        <f t="shared" si="18"/>
        <v>104.52</v>
      </c>
    </row>
    <row r="680" spans="1:6" x14ac:dyDescent="0.25">
      <c r="A680" s="45"/>
      <c r="B680" s="46" t="s">
        <v>270</v>
      </c>
      <c r="C680" s="47">
        <f>0.1667*C676</f>
        <v>1.7503500000000002E-2</v>
      </c>
      <c r="D680" s="48" t="s">
        <v>62</v>
      </c>
      <c r="E680" s="49">
        <v>285</v>
      </c>
      <c r="F680" s="50">
        <f t="shared" si="18"/>
        <v>4.9884975000000003</v>
      </c>
    </row>
    <row r="681" spans="1:6" x14ac:dyDescent="0.25">
      <c r="A681" s="45"/>
      <c r="B681" s="46" t="s">
        <v>271</v>
      </c>
      <c r="C681" s="47">
        <f>0.0699*C676</f>
        <v>7.3395000000000014E-3</v>
      </c>
      <c r="D681" s="48" t="s">
        <v>62</v>
      </c>
      <c r="E681" s="49">
        <v>335</v>
      </c>
      <c r="F681" s="50">
        <f t="shared" si="18"/>
        <v>2.4587325000000004</v>
      </c>
    </row>
    <row r="682" spans="1:6" x14ac:dyDescent="0.25">
      <c r="A682" s="45"/>
      <c r="B682" s="46" t="s">
        <v>272</v>
      </c>
      <c r="C682" s="47">
        <v>0.1</v>
      </c>
      <c r="D682" s="48" t="s">
        <v>96</v>
      </c>
      <c r="E682" s="49">
        <v>7.5</v>
      </c>
      <c r="F682" s="50">
        <f t="shared" si="18"/>
        <v>0.75</v>
      </c>
    </row>
    <row r="683" spans="1:6" x14ac:dyDescent="0.25">
      <c r="A683" s="45"/>
      <c r="B683" s="46" t="s">
        <v>273</v>
      </c>
      <c r="C683" s="47">
        <f>C680</f>
        <v>1.7503500000000002E-2</v>
      </c>
      <c r="D683" s="48" t="s">
        <v>62</v>
      </c>
      <c r="E683" s="49">
        <v>5.5</v>
      </c>
      <c r="F683" s="50">
        <f t="shared" si="18"/>
        <v>9.6269250000000015E-2</v>
      </c>
    </row>
    <row r="684" spans="1:6" x14ac:dyDescent="0.25">
      <c r="A684" s="45"/>
      <c r="B684" s="46" t="s">
        <v>274</v>
      </c>
      <c r="C684" s="47">
        <f>C681</f>
        <v>7.3395000000000014E-3</v>
      </c>
      <c r="D684" s="48" t="s">
        <v>62</v>
      </c>
      <c r="E684" s="49">
        <v>5.5</v>
      </c>
      <c r="F684" s="50">
        <f t="shared" si="18"/>
        <v>4.0367250000000007E-2</v>
      </c>
    </row>
    <row r="685" spans="1:6" x14ac:dyDescent="0.25">
      <c r="A685" s="45"/>
      <c r="B685" s="46" t="s">
        <v>56</v>
      </c>
      <c r="C685" s="47">
        <v>1.4999999999999999E-2</v>
      </c>
      <c r="D685" s="48" t="s">
        <v>10</v>
      </c>
      <c r="E685" s="49">
        <f>SUM(F675:F684)</f>
        <v>270.61636649999997</v>
      </c>
      <c r="F685" s="50">
        <f t="shared" si="18"/>
        <v>4.0592454974999992</v>
      </c>
    </row>
    <row r="686" spans="1:6" x14ac:dyDescent="0.25">
      <c r="A686" s="51"/>
      <c r="B686" s="52"/>
      <c r="C686" s="53"/>
      <c r="D686" s="54"/>
      <c r="E686" s="55"/>
      <c r="F686" s="56"/>
    </row>
    <row r="687" spans="1:6" ht="15.75" x14ac:dyDescent="0.25">
      <c r="A687" s="167"/>
      <c r="B687" s="167"/>
      <c r="C687" s="167"/>
      <c r="D687" s="57" t="s">
        <v>277</v>
      </c>
      <c r="E687" s="58"/>
      <c r="F687" s="59">
        <f>SUM(F676:F686)/F673</f>
        <v>274.67561199749997</v>
      </c>
    </row>
    <row r="689" spans="1:6" ht="33" customHeight="1" x14ac:dyDescent="0.25">
      <c r="A689" s="39"/>
      <c r="B689" s="40" t="s">
        <v>20</v>
      </c>
      <c r="C689" s="41"/>
      <c r="D689" s="41"/>
      <c r="E689" s="42" t="s">
        <v>46</v>
      </c>
      <c r="F689" s="43">
        <v>1</v>
      </c>
    </row>
    <row r="690" spans="1:6" s="63" customFormat="1" x14ac:dyDescent="0.25">
      <c r="A690" s="44" t="s">
        <v>47</v>
      </c>
      <c r="B690" s="44" t="s">
        <v>48</v>
      </c>
      <c r="C690" s="44" t="s">
        <v>49</v>
      </c>
      <c r="D690" s="44" t="s">
        <v>50</v>
      </c>
      <c r="E690" s="44" t="s">
        <v>51</v>
      </c>
      <c r="F690" s="44" t="s">
        <v>52</v>
      </c>
    </row>
    <row r="691" spans="1:6" ht="6.75" customHeight="1" x14ac:dyDescent="0.25"/>
    <row r="692" spans="1:6" x14ac:dyDescent="0.25">
      <c r="A692" s="45"/>
      <c r="B692" s="46" t="s">
        <v>278</v>
      </c>
      <c r="C692" s="47">
        <v>0.8</v>
      </c>
      <c r="D692" s="48" t="s">
        <v>54</v>
      </c>
      <c r="E692" s="49">
        <v>1898.49</v>
      </c>
      <c r="F692" s="50">
        <f>C692*E692</f>
        <v>1518.7920000000001</v>
      </c>
    </row>
    <row r="693" spans="1:6" x14ac:dyDescent="0.25">
      <c r="A693" s="45"/>
      <c r="B693" s="46" t="s">
        <v>279</v>
      </c>
      <c r="C693" s="47">
        <v>0.8</v>
      </c>
      <c r="D693" s="48" t="s">
        <v>54</v>
      </c>
      <c r="E693" s="49">
        <v>1024.8699999999999</v>
      </c>
      <c r="F693" s="50">
        <f t="shared" ref="F693:F701" si="19">C693*E693</f>
        <v>819.89599999999996</v>
      </c>
    </row>
    <row r="694" spans="1:6" x14ac:dyDescent="0.25">
      <c r="A694" s="45"/>
      <c r="B694" s="46" t="s">
        <v>280</v>
      </c>
      <c r="C694" s="47">
        <v>0.5</v>
      </c>
      <c r="D694" s="48" t="s">
        <v>2</v>
      </c>
      <c r="E694" s="49">
        <v>1300</v>
      </c>
      <c r="F694" s="50">
        <f t="shared" si="19"/>
        <v>650</v>
      </c>
    </row>
    <row r="695" spans="1:6" x14ac:dyDescent="0.25">
      <c r="A695" s="45"/>
      <c r="B695" s="46" t="s">
        <v>281</v>
      </c>
      <c r="C695" s="47">
        <v>1</v>
      </c>
      <c r="D695" s="48" t="s">
        <v>268</v>
      </c>
      <c r="E695" s="49">
        <v>90</v>
      </c>
      <c r="F695" s="50">
        <f t="shared" si="19"/>
        <v>90</v>
      </c>
    </row>
    <row r="696" spans="1:6" x14ac:dyDescent="0.25">
      <c r="A696" s="45"/>
      <c r="B696" s="46" t="s">
        <v>282</v>
      </c>
      <c r="C696" s="47">
        <v>1</v>
      </c>
      <c r="D696" s="48" t="s">
        <v>2</v>
      </c>
      <c r="E696" s="49">
        <v>294.41000000000003</v>
      </c>
      <c r="F696" s="50">
        <f t="shared" si="19"/>
        <v>294.41000000000003</v>
      </c>
    </row>
    <row r="697" spans="1:6" x14ac:dyDescent="0.25">
      <c r="A697" s="45"/>
      <c r="B697" s="46" t="s">
        <v>283</v>
      </c>
      <c r="C697" s="47">
        <v>1</v>
      </c>
      <c r="D697" s="48" t="s">
        <v>2</v>
      </c>
      <c r="E697" s="49">
        <v>405</v>
      </c>
      <c r="F697" s="50">
        <f t="shared" si="19"/>
        <v>405</v>
      </c>
    </row>
    <row r="698" spans="1:6" x14ac:dyDescent="0.25">
      <c r="A698" s="45"/>
      <c r="B698" s="46" t="s">
        <v>284</v>
      </c>
      <c r="C698" s="47">
        <v>1</v>
      </c>
      <c r="D698" s="48" t="s">
        <v>2</v>
      </c>
      <c r="E698" s="49">
        <v>456</v>
      </c>
      <c r="F698" s="50">
        <f t="shared" si="19"/>
        <v>456</v>
      </c>
    </row>
    <row r="699" spans="1:6" x14ac:dyDescent="0.25">
      <c r="A699" s="45"/>
      <c r="B699" s="46" t="s">
        <v>285</v>
      </c>
      <c r="C699" s="47">
        <v>1</v>
      </c>
      <c r="D699" s="48" t="s">
        <v>2</v>
      </c>
      <c r="E699" s="49">
        <v>603</v>
      </c>
      <c r="F699" s="50">
        <f t="shared" si="19"/>
        <v>603</v>
      </c>
    </row>
    <row r="700" spans="1:6" x14ac:dyDescent="0.25">
      <c r="A700" s="45"/>
      <c r="B700" s="46" t="s">
        <v>286</v>
      </c>
      <c r="C700" s="47">
        <v>1</v>
      </c>
      <c r="D700" s="48"/>
      <c r="E700" s="49">
        <v>205</v>
      </c>
      <c r="F700" s="50">
        <f>C700*E700</f>
        <v>205</v>
      </c>
    </row>
    <row r="701" spans="1:6" x14ac:dyDescent="0.25">
      <c r="A701" s="45"/>
      <c r="B701" s="46" t="s">
        <v>56</v>
      </c>
      <c r="C701" s="47">
        <v>1.4999999999999999E-2</v>
      </c>
      <c r="D701" s="48" t="s">
        <v>10</v>
      </c>
      <c r="E701" s="49">
        <f>SUM(F691:F700)</f>
        <v>5042.098</v>
      </c>
      <c r="F701" s="50">
        <f t="shared" si="19"/>
        <v>75.631469999999993</v>
      </c>
    </row>
    <row r="702" spans="1:6" x14ac:dyDescent="0.25">
      <c r="A702" s="51"/>
      <c r="B702" s="52"/>
      <c r="C702" s="53"/>
      <c r="D702" s="54"/>
      <c r="E702" s="55"/>
      <c r="F702" s="56"/>
    </row>
    <row r="703" spans="1:6" ht="15.75" x14ac:dyDescent="0.25">
      <c r="A703" s="167"/>
      <c r="B703" s="167"/>
      <c r="C703" s="167"/>
      <c r="D703" s="57" t="s">
        <v>57</v>
      </c>
      <c r="E703" s="58"/>
      <c r="F703" s="59">
        <f>SUM(F692:F702)/F689</f>
        <v>5117.7294700000002</v>
      </c>
    </row>
    <row r="705" spans="1:6" ht="33" customHeight="1" x14ac:dyDescent="0.25">
      <c r="A705" s="39"/>
      <c r="B705" s="40" t="s">
        <v>21</v>
      </c>
      <c r="C705" s="41"/>
      <c r="D705" s="41"/>
      <c r="E705" s="42" t="s">
        <v>46</v>
      </c>
      <c r="F705" s="43">
        <v>1</v>
      </c>
    </row>
    <row r="706" spans="1:6" s="63" customFormat="1" x14ac:dyDescent="0.25">
      <c r="A706" s="44" t="s">
        <v>47</v>
      </c>
      <c r="B706" s="44" t="s">
        <v>48</v>
      </c>
      <c r="C706" s="44" t="s">
        <v>49</v>
      </c>
      <c r="D706" s="44" t="s">
        <v>50</v>
      </c>
      <c r="E706" s="44" t="s">
        <v>51</v>
      </c>
      <c r="F706" s="44" t="s">
        <v>52</v>
      </c>
    </row>
    <row r="707" spans="1:6" ht="6.75" customHeight="1" x14ac:dyDescent="0.25"/>
    <row r="708" spans="1:6" x14ac:dyDescent="0.25">
      <c r="A708" s="45"/>
      <c r="B708" s="46" t="s">
        <v>278</v>
      </c>
      <c r="C708" s="47">
        <v>1</v>
      </c>
      <c r="D708" s="48" t="s">
        <v>54</v>
      </c>
      <c r="E708" s="49">
        <v>1898.49</v>
      </c>
      <c r="F708" s="50">
        <f>C708*E708</f>
        <v>1898.49</v>
      </c>
    </row>
    <row r="709" spans="1:6" x14ac:dyDescent="0.25">
      <c r="A709" s="45"/>
      <c r="B709" s="46" t="s">
        <v>279</v>
      </c>
      <c r="C709" s="47">
        <v>1</v>
      </c>
      <c r="D709" s="48" t="s">
        <v>54</v>
      </c>
      <c r="E709" s="49">
        <v>1024.8699999999999</v>
      </c>
      <c r="F709" s="50">
        <f t="shared" ref="F709:F717" si="20">C709*E709</f>
        <v>1024.8699999999999</v>
      </c>
    </row>
    <row r="710" spans="1:6" x14ac:dyDescent="0.25">
      <c r="A710" s="45"/>
      <c r="B710" s="46" t="s">
        <v>280</v>
      </c>
      <c r="C710" s="47">
        <v>1</v>
      </c>
      <c r="D710" s="48" t="s">
        <v>2</v>
      </c>
      <c r="E710" s="49">
        <v>1300</v>
      </c>
      <c r="F710" s="50">
        <f t="shared" si="20"/>
        <v>1300</v>
      </c>
    </row>
    <row r="711" spans="1:6" x14ac:dyDescent="0.25">
      <c r="A711" s="45"/>
      <c r="B711" s="46" t="s">
        <v>281</v>
      </c>
      <c r="C711" s="47">
        <v>1.5</v>
      </c>
      <c r="D711" s="48" t="s">
        <v>268</v>
      </c>
      <c r="E711" s="49">
        <v>90</v>
      </c>
      <c r="F711" s="50">
        <f t="shared" si="20"/>
        <v>135</v>
      </c>
    </row>
    <row r="712" spans="1:6" x14ac:dyDescent="0.25">
      <c r="A712" s="45"/>
      <c r="B712" s="46" t="s">
        <v>282</v>
      </c>
      <c r="C712" s="47">
        <v>1</v>
      </c>
      <c r="D712" s="48" t="s">
        <v>2</v>
      </c>
      <c r="E712" s="49">
        <v>294.41000000000003</v>
      </c>
      <c r="F712" s="50">
        <f t="shared" si="20"/>
        <v>294.41000000000003</v>
      </c>
    </row>
    <row r="713" spans="1:6" x14ac:dyDescent="0.25">
      <c r="A713" s="45"/>
      <c r="B713" s="46" t="s">
        <v>283</v>
      </c>
      <c r="C713" s="47">
        <v>1</v>
      </c>
      <c r="D713" s="48" t="s">
        <v>2</v>
      </c>
      <c r="E713" s="49">
        <v>405</v>
      </c>
      <c r="F713" s="50">
        <f t="shared" si="20"/>
        <v>405</v>
      </c>
    </row>
    <row r="714" spans="1:6" x14ac:dyDescent="0.25">
      <c r="A714" s="45"/>
      <c r="B714" s="46" t="s">
        <v>284</v>
      </c>
      <c r="C714" s="47">
        <v>1</v>
      </c>
      <c r="D714" s="48" t="s">
        <v>2</v>
      </c>
      <c r="E714" s="49">
        <v>456</v>
      </c>
      <c r="F714" s="50">
        <f t="shared" si="20"/>
        <v>456</v>
      </c>
    </row>
    <row r="715" spans="1:6" x14ac:dyDescent="0.25">
      <c r="A715" s="45"/>
      <c r="B715" s="46" t="s">
        <v>285</v>
      </c>
      <c r="C715" s="47">
        <v>1</v>
      </c>
      <c r="D715" s="48" t="s">
        <v>2</v>
      </c>
      <c r="E715" s="49">
        <v>603</v>
      </c>
      <c r="F715" s="50">
        <f t="shared" si="20"/>
        <v>603</v>
      </c>
    </row>
    <row r="716" spans="1:6" x14ac:dyDescent="0.25">
      <c r="A716" s="45"/>
      <c r="B716" s="46" t="s">
        <v>286</v>
      </c>
      <c r="C716" s="47">
        <v>1</v>
      </c>
      <c r="D716" s="48" t="s">
        <v>2</v>
      </c>
      <c r="E716" s="49">
        <v>205</v>
      </c>
      <c r="F716" s="50">
        <f t="shared" si="20"/>
        <v>205</v>
      </c>
    </row>
    <row r="717" spans="1:6" x14ac:dyDescent="0.25">
      <c r="A717" s="45"/>
      <c r="B717" s="46" t="s">
        <v>56</v>
      </c>
      <c r="C717" s="47">
        <v>1.4999999999999999E-2</v>
      </c>
      <c r="D717" s="48" t="s">
        <v>10</v>
      </c>
      <c r="E717" s="49">
        <f>SUM(F707:F716)</f>
        <v>6321.7699999999995</v>
      </c>
      <c r="F717" s="50">
        <f t="shared" si="20"/>
        <v>94.826549999999983</v>
      </c>
    </row>
    <row r="718" spans="1:6" x14ac:dyDescent="0.25">
      <c r="A718" s="51"/>
      <c r="B718" s="52"/>
      <c r="C718" s="53"/>
      <c r="D718" s="54"/>
      <c r="E718" s="55"/>
      <c r="F718" s="56"/>
    </row>
    <row r="719" spans="1:6" ht="15.75" x14ac:dyDescent="0.25">
      <c r="A719" s="167"/>
      <c r="B719" s="167"/>
      <c r="C719" s="167"/>
      <c r="D719" s="57" t="s">
        <v>57</v>
      </c>
      <c r="E719" s="58"/>
      <c r="F719" s="59">
        <f>SUM(F708:F718)/F705</f>
        <v>6416.5965499999993</v>
      </c>
    </row>
    <row r="721" spans="1:6" ht="33" customHeight="1" x14ac:dyDescent="0.25">
      <c r="A721" s="39"/>
      <c r="B721" s="40" t="s">
        <v>22</v>
      </c>
      <c r="C721" s="41"/>
      <c r="D721" s="41"/>
      <c r="E721" s="42" t="s">
        <v>46</v>
      </c>
      <c r="F721" s="43">
        <v>80.180000000000007</v>
      </c>
    </row>
    <row r="722" spans="1:6" s="63" customFormat="1" x14ac:dyDescent="0.25">
      <c r="A722" s="44" t="s">
        <v>47</v>
      </c>
      <c r="B722" s="44" t="s">
        <v>48</v>
      </c>
      <c r="C722" s="44" t="s">
        <v>49</v>
      </c>
      <c r="D722" s="44" t="s">
        <v>50</v>
      </c>
      <c r="E722" s="44" t="s">
        <v>51</v>
      </c>
      <c r="F722" s="44" t="s">
        <v>52</v>
      </c>
    </row>
    <row r="723" spans="1:6" ht="6.75" customHeight="1" x14ac:dyDescent="0.25"/>
    <row r="724" spans="1:6" x14ac:dyDescent="0.25">
      <c r="A724" s="45"/>
      <c r="B724" s="46" t="s">
        <v>278</v>
      </c>
      <c r="C724" s="47">
        <v>8</v>
      </c>
      <c r="D724" s="48" t="s">
        <v>54</v>
      </c>
      <c r="E724" s="49">
        <v>1898.49</v>
      </c>
      <c r="F724" s="50">
        <f>C724*E724</f>
        <v>15187.92</v>
      </c>
    </row>
    <row r="725" spans="1:6" x14ac:dyDescent="0.25">
      <c r="A725" s="45"/>
      <c r="B725" s="46" t="s">
        <v>279</v>
      </c>
      <c r="C725" s="47">
        <v>8</v>
      </c>
      <c r="D725" s="48" t="s">
        <v>54</v>
      </c>
      <c r="E725" s="49">
        <v>1024.8699999999999</v>
      </c>
      <c r="F725" s="50">
        <f t="shared" ref="F725:F733" si="21">C725*E725</f>
        <v>8198.9599999999991</v>
      </c>
    </row>
    <row r="726" spans="1:6" x14ac:dyDescent="0.25">
      <c r="A726" s="45"/>
      <c r="B726" s="46" t="s">
        <v>280</v>
      </c>
      <c r="C726" s="47">
        <v>5</v>
      </c>
      <c r="D726" s="48" t="s">
        <v>2</v>
      </c>
      <c r="E726" s="49">
        <v>1300</v>
      </c>
      <c r="F726" s="50">
        <f t="shared" si="21"/>
        <v>6500</v>
      </c>
    </row>
    <row r="727" spans="1:6" x14ac:dyDescent="0.25">
      <c r="A727" s="45"/>
      <c r="B727" s="46" t="s">
        <v>281</v>
      </c>
      <c r="C727" s="47">
        <f>1.5*10</f>
        <v>15</v>
      </c>
      <c r="D727" s="48" t="s">
        <v>268</v>
      </c>
      <c r="E727" s="49">
        <v>90</v>
      </c>
      <c r="F727" s="50">
        <f t="shared" si="21"/>
        <v>1350</v>
      </c>
    </row>
    <row r="728" spans="1:6" x14ac:dyDescent="0.25">
      <c r="A728" s="45"/>
      <c r="B728" s="46" t="s">
        <v>282</v>
      </c>
      <c r="C728" s="47">
        <v>5</v>
      </c>
      <c r="D728" s="48" t="s">
        <v>2</v>
      </c>
      <c r="E728" s="49">
        <v>294.41000000000003</v>
      </c>
      <c r="F728" s="50">
        <f t="shared" si="21"/>
        <v>1472.0500000000002</v>
      </c>
    </row>
    <row r="729" spans="1:6" x14ac:dyDescent="0.25">
      <c r="A729" s="45"/>
      <c r="B729" s="46" t="s">
        <v>283</v>
      </c>
      <c r="C729" s="47">
        <v>6</v>
      </c>
      <c r="D729" s="48" t="s">
        <v>2</v>
      </c>
      <c r="E729" s="49">
        <v>405</v>
      </c>
      <c r="F729" s="50">
        <f t="shared" si="21"/>
        <v>2430</v>
      </c>
    </row>
    <row r="730" spans="1:6" x14ac:dyDescent="0.25">
      <c r="A730" s="45"/>
      <c r="B730" s="46" t="s">
        <v>284</v>
      </c>
      <c r="C730" s="47">
        <v>7</v>
      </c>
      <c r="D730" s="48" t="s">
        <v>2</v>
      </c>
      <c r="E730" s="49">
        <v>456</v>
      </c>
      <c r="F730" s="50">
        <f t="shared" si="21"/>
        <v>3192</v>
      </c>
    </row>
    <row r="731" spans="1:6" x14ac:dyDescent="0.25">
      <c r="A731" s="45"/>
      <c r="B731" s="46" t="s">
        <v>285</v>
      </c>
      <c r="C731" s="47">
        <v>8</v>
      </c>
      <c r="D731" s="48" t="s">
        <v>2</v>
      </c>
      <c r="E731" s="49">
        <v>603</v>
      </c>
      <c r="F731" s="50">
        <f t="shared" si="21"/>
        <v>4824</v>
      </c>
    </row>
    <row r="732" spans="1:6" x14ac:dyDescent="0.25">
      <c r="A732" s="45"/>
      <c r="B732" s="46" t="s">
        <v>286</v>
      </c>
      <c r="C732" s="47">
        <v>12</v>
      </c>
      <c r="D732" s="48" t="s">
        <v>2</v>
      </c>
      <c r="E732" s="49">
        <v>205</v>
      </c>
      <c r="F732" s="50">
        <f t="shared" si="21"/>
        <v>2460</v>
      </c>
    </row>
    <row r="733" spans="1:6" x14ac:dyDescent="0.25">
      <c r="A733" s="45"/>
      <c r="B733" s="46" t="s">
        <v>56</v>
      </c>
      <c r="C733" s="47">
        <v>1.4999999999999999E-2</v>
      </c>
      <c r="D733" s="48" t="s">
        <v>10</v>
      </c>
      <c r="E733" s="49">
        <f>SUM(F723:F732)</f>
        <v>45614.929999999993</v>
      </c>
      <c r="F733" s="50">
        <f t="shared" si="21"/>
        <v>684.22394999999983</v>
      </c>
    </row>
    <row r="734" spans="1:6" x14ac:dyDescent="0.25">
      <c r="A734" s="51"/>
      <c r="B734" s="52"/>
      <c r="C734" s="53"/>
      <c r="D734" s="54"/>
      <c r="E734" s="55"/>
      <c r="F734" s="56"/>
    </row>
    <row r="735" spans="1:6" ht="15.75" x14ac:dyDescent="0.25">
      <c r="A735" s="167"/>
      <c r="B735" s="167"/>
      <c r="C735" s="167"/>
      <c r="D735" s="57" t="s">
        <v>162</v>
      </c>
      <c r="E735" s="58"/>
      <c r="F735" s="59">
        <f>SUM(F724:F734)/F721</f>
        <v>577.44018396108743</v>
      </c>
    </row>
    <row r="737" spans="1:6" ht="33" customHeight="1" x14ac:dyDescent="0.25">
      <c r="A737" s="39"/>
      <c r="B737" s="40" t="s">
        <v>23</v>
      </c>
      <c r="C737" s="41"/>
      <c r="D737" s="41"/>
      <c r="E737" s="42" t="s">
        <v>46</v>
      </c>
      <c r="F737" s="43">
        <v>123.62</v>
      </c>
    </row>
    <row r="738" spans="1:6" s="63" customFormat="1" x14ac:dyDescent="0.25">
      <c r="A738" s="44" t="s">
        <v>47</v>
      </c>
      <c r="B738" s="44" t="s">
        <v>48</v>
      </c>
      <c r="C738" s="44" t="s">
        <v>49</v>
      </c>
      <c r="D738" s="44" t="s">
        <v>50</v>
      </c>
      <c r="E738" s="44" t="s">
        <v>51</v>
      </c>
      <c r="F738" s="44" t="s">
        <v>52</v>
      </c>
    </row>
    <row r="739" spans="1:6" ht="6.75" customHeight="1" x14ac:dyDescent="0.25"/>
    <row r="740" spans="1:6" x14ac:dyDescent="0.25">
      <c r="A740" s="45"/>
      <c r="B740" s="46" t="s">
        <v>278</v>
      </c>
      <c r="C740" s="47">
        <v>1</v>
      </c>
      <c r="D740" s="48" t="s">
        <v>54</v>
      </c>
      <c r="E740" s="49">
        <v>1898.49</v>
      </c>
      <c r="F740" s="50">
        <f>C740*E740</f>
        <v>1898.49</v>
      </c>
    </row>
    <row r="741" spans="1:6" x14ac:dyDescent="0.25">
      <c r="A741" s="45"/>
      <c r="B741" s="46" t="s">
        <v>279</v>
      </c>
      <c r="C741" s="47">
        <v>1</v>
      </c>
      <c r="D741" s="48" t="s">
        <v>54</v>
      </c>
      <c r="E741" s="49">
        <v>1024.8699999999999</v>
      </c>
      <c r="F741" s="50">
        <f t="shared" ref="F741:F746" si="22">C741*E741</f>
        <v>1024.8699999999999</v>
      </c>
    </row>
    <row r="742" spans="1:6" x14ac:dyDescent="0.25">
      <c r="A742" s="45"/>
      <c r="B742" s="46" t="s">
        <v>283</v>
      </c>
      <c r="C742" s="47">
        <v>1</v>
      </c>
      <c r="D742" s="48" t="s">
        <v>2</v>
      </c>
      <c r="E742" s="49">
        <v>405</v>
      </c>
      <c r="F742" s="50">
        <f t="shared" si="22"/>
        <v>405</v>
      </c>
    </row>
    <row r="743" spans="1:6" x14ac:dyDescent="0.25">
      <c r="A743" s="45"/>
      <c r="B743" s="46" t="s">
        <v>284</v>
      </c>
      <c r="C743" s="47">
        <v>2</v>
      </c>
      <c r="D743" s="48" t="s">
        <v>2</v>
      </c>
      <c r="E743" s="49">
        <v>456</v>
      </c>
      <c r="F743" s="50">
        <f t="shared" si="22"/>
        <v>912</v>
      </c>
    </row>
    <row r="744" spans="1:6" x14ac:dyDescent="0.25">
      <c r="A744" s="45"/>
      <c r="B744" s="46" t="s">
        <v>285</v>
      </c>
      <c r="C744" s="47">
        <v>3</v>
      </c>
      <c r="D744" s="48" t="s">
        <v>2</v>
      </c>
      <c r="E744" s="49">
        <v>603</v>
      </c>
      <c r="F744" s="50">
        <f t="shared" si="22"/>
        <v>1809</v>
      </c>
    </row>
    <row r="745" spans="1:6" x14ac:dyDescent="0.25">
      <c r="A745" s="45"/>
      <c r="B745" s="46" t="s">
        <v>286</v>
      </c>
      <c r="C745" s="47">
        <v>1</v>
      </c>
      <c r="D745" s="48" t="s">
        <v>2</v>
      </c>
      <c r="E745" s="49">
        <v>205</v>
      </c>
      <c r="F745" s="50">
        <f t="shared" si="22"/>
        <v>205</v>
      </c>
    </row>
    <row r="746" spans="1:6" x14ac:dyDescent="0.25">
      <c r="A746" s="45"/>
      <c r="B746" s="46" t="s">
        <v>56</v>
      </c>
      <c r="C746" s="47">
        <v>1.4999999999999999E-2</v>
      </c>
      <c r="D746" s="48" t="s">
        <v>10</v>
      </c>
      <c r="E746" s="49">
        <f>SUM(F739:F745)</f>
        <v>6254.36</v>
      </c>
      <c r="F746" s="50">
        <f t="shared" si="22"/>
        <v>93.815399999999997</v>
      </c>
    </row>
    <row r="747" spans="1:6" x14ac:dyDescent="0.25">
      <c r="A747" s="51"/>
      <c r="B747" s="52"/>
      <c r="C747" s="53"/>
      <c r="D747" s="54"/>
      <c r="E747" s="55"/>
      <c r="F747" s="56"/>
    </row>
    <row r="748" spans="1:6" ht="15.75" x14ac:dyDescent="0.25">
      <c r="A748" s="167"/>
      <c r="B748" s="167"/>
      <c r="C748" s="167"/>
      <c r="D748" s="57" t="s">
        <v>162</v>
      </c>
      <c r="E748" s="58"/>
      <c r="F748" s="59">
        <f>SUM(F740:F747)/F737</f>
        <v>51.352332955832388</v>
      </c>
    </row>
    <row r="751" spans="1:6" ht="30" customHeight="1" x14ac:dyDescent="0.25">
      <c r="A751" s="39"/>
      <c r="B751" s="40" t="s">
        <v>287</v>
      </c>
      <c r="C751" s="41"/>
      <c r="D751" s="41"/>
      <c r="E751" s="42" t="s">
        <v>46</v>
      </c>
      <c r="F751" s="43">
        <v>1</v>
      </c>
    </row>
    <row r="752" spans="1:6" s="63" customFormat="1" x14ac:dyDescent="0.25">
      <c r="A752" s="44" t="s">
        <v>47</v>
      </c>
      <c r="B752" s="44" t="s">
        <v>48</v>
      </c>
      <c r="C752" s="44" t="s">
        <v>49</v>
      </c>
      <c r="D752" s="44" t="s">
        <v>50</v>
      </c>
      <c r="E752" s="44" t="s">
        <v>51</v>
      </c>
      <c r="F752" s="44" t="s">
        <v>52</v>
      </c>
    </row>
    <row r="753" spans="1:6" ht="6.75" customHeight="1" x14ac:dyDescent="0.25"/>
    <row r="754" spans="1:6" x14ac:dyDescent="0.25">
      <c r="A754" s="45"/>
      <c r="B754" s="64" t="s">
        <v>288</v>
      </c>
      <c r="C754" s="47">
        <v>1</v>
      </c>
      <c r="D754" s="48" t="s">
        <v>2</v>
      </c>
      <c r="E754" s="49">
        <v>110000</v>
      </c>
      <c r="F754" s="50">
        <f>C754*E754</f>
        <v>110000</v>
      </c>
    </row>
    <row r="755" spans="1:6" x14ac:dyDescent="0.25">
      <c r="A755" s="45"/>
      <c r="B755" s="46" t="s">
        <v>229</v>
      </c>
      <c r="C755" s="47">
        <v>0.4</v>
      </c>
      <c r="D755" s="48" t="s">
        <v>54</v>
      </c>
      <c r="E755" s="49">
        <v>1898.49</v>
      </c>
      <c r="F755" s="50">
        <f>C755*E755</f>
        <v>759.39600000000007</v>
      </c>
    </row>
    <row r="756" spans="1:6" x14ac:dyDescent="0.25">
      <c r="A756" s="45"/>
      <c r="B756" s="46" t="s">
        <v>230</v>
      </c>
      <c r="C756" s="47">
        <v>0.4</v>
      </c>
      <c r="D756" s="48" t="s">
        <v>54</v>
      </c>
      <c r="E756" s="49">
        <v>1124.8699999999999</v>
      </c>
      <c r="F756" s="50">
        <f>C756*E756</f>
        <v>449.94799999999998</v>
      </c>
    </row>
    <row r="757" spans="1:6" x14ac:dyDescent="0.25">
      <c r="A757" s="45"/>
      <c r="B757" s="46" t="s">
        <v>56</v>
      </c>
      <c r="C757" s="47">
        <v>1.4999999999999999E-2</v>
      </c>
      <c r="D757" s="48" t="s">
        <v>10</v>
      </c>
      <c r="E757" s="49">
        <f>SUM(F753:F756)</f>
        <v>111209.344</v>
      </c>
      <c r="F757" s="50">
        <f>C757*E757</f>
        <v>1668.1401599999999</v>
      </c>
    </row>
    <row r="758" spans="1:6" x14ac:dyDescent="0.25">
      <c r="A758" s="51"/>
      <c r="B758" s="52"/>
      <c r="C758" s="53"/>
      <c r="D758" s="54"/>
      <c r="E758" s="55"/>
      <c r="F758" s="56"/>
    </row>
    <row r="759" spans="1:6" ht="15.75" x14ac:dyDescent="0.25">
      <c r="A759" s="167"/>
      <c r="B759" s="167"/>
      <c r="C759" s="167"/>
      <c r="D759" s="57" t="s">
        <v>155</v>
      </c>
      <c r="E759" s="58"/>
      <c r="F759" s="59">
        <f>SUM(F753:F758)/F751</f>
        <v>112877.48415999999</v>
      </c>
    </row>
    <row r="761" spans="1:6" ht="30" customHeight="1" x14ac:dyDescent="0.25">
      <c r="A761" s="39"/>
      <c r="B761" s="40" t="s">
        <v>24</v>
      </c>
      <c r="C761" s="41"/>
      <c r="D761" s="41"/>
      <c r="E761" s="42" t="s">
        <v>46</v>
      </c>
      <c r="F761" s="43">
        <v>1</v>
      </c>
    </row>
    <row r="762" spans="1:6" s="63" customFormat="1" x14ac:dyDescent="0.25">
      <c r="A762" s="44" t="s">
        <v>47</v>
      </c>
      <c r="B762" s="44" t="s">
        <v>48</v>
      </c>
      <c r="C762" s="44" t="s">
        <v>49</v>
      </c>
      <c r="D762" s="44" t="s">
        <v>50</v>
      </c>
      <c r="E762" s="44" t="s">
        <v>51</v>
      </c>
      <c r="F762" s="44" t="s">
        <v>52</v>
      </c>
    </row>
    <row r="763" spans="1:6" ht="6.75" customHeight="1" x14ac:dyDescent="0.25"/>
    <row r="764" spans="1:6" x14ac:dyDescent="0.25">
      <c r="A764" s="45"/>
      <c r="B764" s="46" t="s">
        <v>251</v>
      </c>
      <c r="C764" s="47">
        <v>6</v>
      </c>
      <c r="D764" s="48" t="s">
        <v>54</v>
      </c>
      <c r="E764" s="49">
        <v>797.39</v>
      </c>
      <c r="F764" s="50">
        <f>C764*E764</f>
        <v>4784.34</v>
      </c>
    </row>
    <row r="765" spans="1:6" x14ac:dyDescent="0.25">
      <c r="A765" s="45"/>
      <c r="B765" s="46" t="s">
        <v>171</v>
      </c>
      <c r="C765" s="47">
        <v>2</v>
      </c>
      <c r="D765" s="48" t="s">
        <v>252</v>
      </c>
      <c r="E765" s="49">
        <v>2500</v>
      </c>
      <c r="F765" s="50">
        <f>C765*E765</f>
        <v>5000</v>
      </c>
    </row>
    <row r="766" spans="1:6" x14ac:dyDescent="0.25">
      <c r="A766" s="45"/>
      <c r="B766" s="46" t="s">
        <v>56</v>
      </c>
      <c r="C766" s="47">
        <v>1.4999999999999999E-2</v>
      </c>
      <c r="D766" s="48" t="s">
        <v>10</v>
      </c>
      <c r="E766" s="49">
        <f>SUM(F763:F765)</f>
        <v>9784.34</v>
      </c>
      <c r="F766" s="50">
        <f>C766*E766</f>
        <v>146.76509999999999</v>
      </c>
    </row>
    <row r="767" spans="1:6" x14ac:dyDescent="0.25">
      <c r="A767" s="51"/>
      <c r="B767" s="52"/>
      <c r="C767" s="53"/>
      <c r="D767" s="54"/>
      <c r="E767" s="55"/>
      <c r="F767" s="56"/>
    </row>
    <row r="768" spans="1:6" ht="15.75" x14ac:dyDescent="0.25">
      <c r="A768" s="167"/>
      <c r="B768" s="167"/>
      <c r="C768" s="167"/>
      <c r="D768" s="57" t="s">
        <v>57</v>
      </c>
      <c r="E768" s="58"/>
      <c r="F768" s="59">
        <f>SUM(F764:F767)/F761</f>
        <v>9931.1051000000007</v>
      </c>
    </row>
  </sheetData>
  <mergeCells count="59">
    <mergeCell ref="A155:C155"/>
    <mergeCell ref="A11:C11"/>
    <mergeCell ref="A20:C20"/>
    <mergeCell ref="A31:C31"/>
    <mergeCell ref="A42:C42"/>
    <mergeCell ref="A51:C51"/>
    <mergeCell ref="A99:C99"/>
    <mergeCell ref="A108:C108"/>
    <mergeCell ref="A126:C126"/>
    <mergeCell ref="A141:C141"/>
    <mergeCell ref="A256:C256"/>
    <mergeCell ref="A164:C164"/>
    <mergeCell ref="A173:C173"/>
    <mergeCell ref="A182:C182"/>
    <mergeCell ref="A191:C191"/>
    <mergeCell ref="A200:C200"/>
    <mergeCell ref="A209:C209"/>
    <mergeCell ref="A218:C218"/>
    <mergeCell ref="A228:C228"/>
    <mergeCell ref="A237:C237"/>
    <mergeCell ref="A246:C246"/>
    <mergeCell ref="A399:C399"/>
    <mergeCell ref="A265:C265"/>
    <mergeCell ref="A276:C276"/>
    <mergeCell ref="A285:C285"/>
    <mergeCell ref="A292:C292"/>
    <mergeCell ref="A299:C299"/>
    <mergeCell ref="A309:C309"/>
    <mergeCell ref="A318:C318"/>
    <mergeCell ref="A328:C328"/>
    <mergeCell ref="A339:C339"/>
    <mergeCell ref="A388:C388"/>
    <mergeCell ref="A536:C536"/>
    <mergeCell ref="A410:C410"/>
    <mergeCell ref="A421:C421"/>
    <mergeCell ref="A431:C431"/>
    <mergeCell ref="A461:C461"/>
    <mergeCell ref="A478:C478"/>
    <mergeCell ref="A488:C488"/>
    <mergeCell ref="A497:C497"/>
    <mergeCell ref="A507:C507"/>
    <mergeCell ref="A516:C516"/>
    <mergeCell ref="A527:C527"/>
    <mergeCell ref="A703:C703"/>
    <mergeCell ref="A571:C571"/>
    <mergeCell ref="A581:C581"/>
    <mergeCell ref="A596:C596"/>
    <mergeCell ref="A605:C605"/>
    <mergeCell ref="A618:C618"/>
    <mergeCell ref="A630:C630"/>
    <mergeCell ref="A643:C643"/>
    <mergeCell ref="A655:C655"/>
    <mergeCell ref="A671:C671"/>
    <mergeCell ref="A687:C687"/>
    <mergeCell ref="A719:C719"/>
    <mergeCell ref="A735:C735"/>
    <mergeCell ref="A748:C748"/>
    <mergeCell ref="A759:C759"/>
    <mergeCell ref="A768:C76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c2dde16-be45-4d8b-ad45-405530d814ce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Owner xmlns="05b54953-3c8d-4842-a3b9-4b22db9cbd38">Person</Owner>
    <lcf76f155ced4ddcb4097134ff3c332f xmlns="05b54953-3c8d-4842-a3b9-4b22db9cbd38">
      <Terms xmlns="http://schemas.microsoft.com/office/infopath/2007/PartnerControls"/>
    </lcf76f155ced4ddcb4097134ff3c332f>
    <TaxCatchAll xmlns="7c2dde16-be45-4d8b-ad45-405530d814c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7" ma:contentTypeDescription="Crear nuevo documento." ma:contentTypeScope="" ma:versionID="8b3c3abfbd094607a80d1951517043ac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0ed9b03b75ebea9c8c35ded094d308f4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4" nillable="true" ma:displayName="Owner" ma:default="Person" ma:format="Dropdown" ma:internalName="Own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1b08a9-ce65-45d4-8ffc-f2789fc70c99}" ma:internalName="TaxCatchAll" ma:showField="CatchAllData" ma:web="7c2dde16-be45-4d8b-ad45-405530d814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4CB7C6-B977-4C23-89BA-0863AE7FDF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734E59-77F6-4CF9-8943-6EFDBC75F013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7c2dde16-be45-4d8b-ad45-405530d814ce"/>
    <ds:schemaRef ds:uri="http://schemas.microsoft.com/office/infopath/2007/PartnerControls"/>
    <ds:schemaRef ds:uri="05b54953-3c8d-4842-a3b9-4b22db9cbd3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05ED36-4910-49D3-A3C2-4B2B27E03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54953-3c8d-4842-a3b9-4b22db9cbd38"/>
    <ds:schemaRef ds:uri="7c2dde16-be45-4d8b-ad45-405530d81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General</vt:lpstr>
      <vt:lpstr>Analisis </vt:lpstr>
      <vt:lpstr>'Presupuesto General'!Área_de_impresión</vt:lpstr>
      <vt:lpstr>'Presupuesto General'!Títulos_a_imprimir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>Oscar E. Ozuna B.</cp:lastModifiedBy>
  <cp:revision/>
  <cp:lastPrinted>2024-03-07T18:48:57Z</cp:lastPrinted>
  <dcterms:created xsi:type="dcterms:W3CDTF">2021-04-12T16:10:30Z</dcterms:created>
  <dcterms:modified xsi:type="dcterms:W3CDTF">2024-03-07T18:49:02Z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0x01010006558F80037620469333F3C8F92B2314</vt:lpwstr>
  </property>
  <property fmtid="{D5CDD505-2E9C-101B-9397-08002B2CF9AE}" pid="3" name="MediaServiceImageTags">
    <vt:lpwstr/>
  </property>
</Properties>
</file>