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ozuna\Desktop\New folder\Presupuesto y Listado de cantidades\"/>
    </mc:Choice>
  </mc:AlternateContent>
  <bookViews>
    <workbookView xWindow="0" yWindow="0" windowWidth="38400" windowHeight="17205"/>
  </bookViews>
  <sheets>
    <sheet name="Listado de Cant" sheetId="3" r:id="rId1"/>
  </sheets>
  <definedNames>
    <definedName name="_xlnm.Print_Area" localSheetId="0">'Listado de Cant'!$A$1:$G$139</definedName>
    <definedName name="_xlnm.Print_Titles" localSheetId="0">'Listado de Cant'!$1:$12</definedName>
  </definedNames>
  <calcPr calcId="162913"/>
</workbook>
</file>

<file path=xl/calcChain.xml><?xml version="1.0" encoding="utf-8"?>
<calcChain xmlns="http://schemas.openxmlformats.org/spreadsheetml/2006/main">
  <c r="A89" i="3" l="1"/>
  <c r="A90" i="3"/>
  <c r="A91" i="3" s="1"/>
  <c r="A92" i="3" s="1"/>
  <c r="A93" i="3" s="1"/>
  <c r="A94" i="3" s="1"/>
  <c r="A49" i="3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47" i="3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93" i="3" l="1"/>
  <c r="I93" i="3"/>
  <c r="J93" i="3" s="1"/>
  <c r="I63" i="3"/>
  <c r="J63" i="3" s="1"/>
  <c r="K63" i="3" s="1"/>
  <c r="I60" i="3"/>
  <c r="J60" i="3" s="1"/>
  <c r="I59" i="3"/>
  <c r="J59" i="3" s="1"/>
  <c r="I61" i="3"/>
  <c r="J61" i="3" s="1"/>
  <c r="I94" i="3" l="1"/>
  <c r="J94" i="3" s="1"/>
  <c r="F94" i="3"/>
  <c r="I92" i="3"/>
  <c r="J92" i="3" s="1"/>
  <c r="F92" i="3"/>
  <c r="F91" i="3"/>
  <c r="F90" i="3"/>
  <c r="I89" i="3"/>
  <c r="J89" i="3" s="1"/>
  <c r="F89" i="3"/>
  <c r="I88" i="3"/>
  <c r="J88" i="3" s="1"/>
  <c r="F88" i="3"/>
  <c r="A88" i="3"/>
  <c r="G95" i="3" l="1"/>
  <c r="F83" i="3"/>
  <c r="I80" i="3"/>
  <c r="J80" i="3" s="1"/>
  <c r="F80" i="3"/>
  <c r="A80" i="3"/>
  <c r="I71" i="3"/>
  <c r="I69" i="3"/>
  <c r="J69" i="3" s="1"/>
  <c r="I50" i="3" l="1"/>
  <c r="J50" i="3" s="1"/>
  <c r="I55" i="3"/>
  <c r="J55" i="3" s="1"/>
  <c r="I53" i="3"/>
  <c r="J53" i="3" s="1"/>
  <c r="I52" i="3"/>
  <c r="J52" i="3" s="1"/>
  <c r="K52" i="3" s="1"/>
  <c r="I47" i="3"/>
  <c r="J47" i="3" s="1"/>
  <c r="I29" i="3"/>
  <c r="J29" i="3" s="1"/>
  <c r="I24" i="3"/>
  <c r="J24" i="3" s="1"/>
  <c r="I84" i="3" l="1"/>
  <c r="J84" i="3" s="1"/>
  <c r="F84" i="3"/>
  <c r="F82" i="3"/>
  <c r="I81" i="3"/>
  <c r="F81" i="3"/>
  <c r="A81" i="3"/>
  <c r="G85" i="3" l="1"/>
  <c r="A82" i="3"/>
  <c r="J81" i="3"/>
  <c r="J27" i="3"/>
  <c r="J26" i="3"/>
  <c r="I21" i="3"/>
  <c r="J21" i="3" s="1"/>
  <c r="J28" i="3"/>
  <c r="A83" i="3" l="1"/>
  <c r="A84" i="3" s="1"/>
  <c r="J23" i="3"/>
  <c r="I22" i="3"/>
  <c r="J20" i="3"/>
  <c r="J22" i="3" l="1"/>
  <c r="I42" i="3"/>
  <c r="J42" i="3" s="1"/>
  <c r="J75" i="3" l="1"/>
  <c r="J72" i="3"/>
  <c r="I76" i="3" l="1"/>
  <c r="J71" i="3"/>
  <c r="J76" i="3" l="1"/>
  <c r="G77" i="3"/>
  <c r="A47" i="3" l="1"/>
  <c r="A48" i="3" s="1"/>
  <c r="A15" i="3" l="1"/>
  <c r="A16" i="3" s="1"/>
  <c r="F15" i="3" l="1"/>
  <c r="G44" i="3" s="1"/>
  <c r="G97" i="3" s="1"/>
  <c r="G119" i="3" l="1"/>
  <c r="G102" i="3"/>
  <c r="G113" i="3"/>
  <c r="G110" i="3"/>
  <c r="G111" i="3"/>
  <c r="G112" i="3"/>
  <c r="G114" i="3"/>
  <c r="G100" i="3"/>
  <c r="G101" i="3"/>
  <c r="G103" i="3" l="1"/>
  <c r="G105" i="3" s="1"/>
  <c r="G107" i="3" s="1"/>
  <c r="G109" i="3" s="1"/>
  <c r="G115" i="3" s="1"/>
  <c r="G117" i="3" s="1"/>
  <c r="G121" i="3" s="1"/>
  <c r="A100" i="3" l="1"/>
  <c r="A101" i="3" s="1"/>
  <c r="A102" i="3" s="1"/>
  <c r="A109" i="3" s="1"/>
  <c r="A110" i="3" s="1"/>
  <c r="A111" i="3" s="1"/>
  <c r="A112" i="3" s="1"/>
  <c r="A113" i="3" s="1"/>
  <c r="A114" i="3" s="1"/>
  <c r="A119" i="3" s="1"/>
</calcChain>
</file>

<file path=xl/sharedStrings.xml><?xml version="1.0" encoding="utf-8"?>
<sst xmlns="http://schemas.openxmlformats.org/spreadsheetml/2006/main" count="186" uniqueCount="115">
  <si>
    <t>INFORMACIONES DEL PROYECTO</t>
  </si>
  <si>
    <t> </t>
  </si>
  <si>
    <t>NUMERO DE CARPETA</t>
  </si>
  <si>
    <t>PRESUPUESTO</t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</si>
  <si>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</si>
  <si>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</si>
  <si>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</si>
  <si>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</si>
  <si>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</si>
  <si>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</si>
  <si>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</si>
  <si>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>CALCULADO</t>
  </si>
  <si>
    <t>INCREMENTO</t>
  </si>
  <si>
    <t>und</t>
  </si>
  <si>
    <t>ud</t>
  </si>
  <si>
    <t>m2</t>
  </si>
  <si>
    <t>Confección y colocación de puertas de caoba, según detalle. A= 0.80m @ 1.00m, H = 2.10m @ 2.50m . Incluye cerradura, tipo de manija en palanca con llave, incluye botella hidráulica</t>
  </si>
  <si>
    <t>Sub-total=</t>
  </si>
  <si>
    <t>Desmonte de aparatos sanitarios (Inodoros, Lavamanos, orinales)</t>
  </si>
  <si>
    <t>Análisis</t>
  </si>
  <si>
    <t>p.a.</t>
  </si>
  <si>
    <t>Limpieza continua y final</t>
  </si>
  <si>
    <t>m3</t>
  </si>
  <si>
    <t>p2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</si>
  <si>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</si>
  <si>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</si>
  <si>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</si>
  <si>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</si>
  <si>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</si>
  <si>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</si>
  <si>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</si>
  <si>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</si>
  <si>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</si>
  <si>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</si>
  <si>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</si>
  <si>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</si>
  <si>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</si>
  <si>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</si>
  <si>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</si>
  <si>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GENERAL COSTOS INDIRECTOS  (RD$)</t>
  </si>
  <si>
    <t>Imprevistos</t>
  </si>
  <si>
    <t>TOTAL GENERAL  (RD$)</t>
  </si>
  <si>
    <t>m</t>
  </si>
  <si>
    <t>Retiro de puertas de madera batientes A&lt;1.00m, H&lt;2.55 (sin tranzo)</t>
  </si>
  <si>
    <t>Suministro e instalación de barras de apoyo para baños en acero inoxidables de 24'' de longitud y 1 ½” diámetro de barra, acabado satinado color plateado, con cubre faltas.</t>
  </si>
  <si>
    <t>Suministro e instalación de porcelanato para muros color blanco mate de 30x60cm, juntas de 2 mm, derretidos en juntas color blanco. incluye la preparación de superficie.</t>
  </si>
  <si>
    <t>Suministro e instalación de lavamanos ovalado de pedestal, pieza color blanco en porcelanato. Sifón metálico de 1-1/4” con acabado cromado y boquilla con cola metálica con acabado cromado tipo push con rebosadero. Incluye todas las piezas y materiales necesarios para la instalación.</t>
  </si>
  <si>
    <t>Suministro e instalación de llave monomando para lavamanos en acero inoxidable de 1 hoyo, color plateado, enroscado de 3/8”, tipo de manija en palanca y consumo de agua de 1.2 GPM.</t>
  </si>
  <si>
    <t>Suministro e Instalación de dispensador de papel higiénico jumbo de acero inoxidable, acabado satinado color plateado, rollo de 9” con núcleo de 2.5” para montaje en pared con cerradura</t>
  </si>
  <si>
    <t>Suministro e instalación de dispensador de jabón líquido en acero inoxidable de 1000 ML, acabado satinado color plateado, funcionamiento por pulsador con botón grande, cerradura y visor de nivel, montaje en pared y modelo vertical.</t>
  </si>
  <si>
    <t>Suministro e instalación de espejo plano rectangular de 0.70x1.00 m y 5 mm de espesor, sin marco, con canto pulido y sujetadores para pared de acero inoxidable no visibles.</t>
  </si>
  <si>
    <t>Suministro e instalación de dispensador de rollos de papel toalla para manos en acero inoxidable con acabado satinado color plateado, montaje en pared.</t>
  </si>
  <si>
    <t>Suministro e instalación de desagüe de piso cuadrado con rejilla cromada para salida de 2”, acabado en acero inoxidable. Incluye sifón PVC para drenaje de 2”.</t>
  </si>
  <si>
    <t>Baño para personas con condiciones especiales</t>
  </si>
  <si>
    <t>Desmonte de tope de lavamanos existente (incluye 2 lavamanos y base de tope de 2.20 m x 0.60m)</t>
  </si>
  <si>
    <t xml:space="preserve">Suministro y colocación de interruptores sencillo color blanco </t>
  </si>
  <si>
    <t>Suministro e instalación de porcelanato de piso 0,60m x 0,60m en tonos claros  antideslizantes</t>
  </si>
  <si>
    <t>Suministro e instalación de barras de apoyo para baños en acero inoxidables de 36'' de longitud y 1 ½” diámetro de barra, acabado satinado color plateado, con cubre faltas.</t>
  </si>
  <si>
    <t>Mano de Obra Plomero ( Instalación de tuberías, piezas, conexiones, sellado de salidas existentes y modificaciones)</t>
  </si>
  <si>
    <t>Demolición de pisos existentes (Incluye torta de mortero e&lt; 0.10m)</t>
  </si>
  <si>
    <t>Traslado interno y bote de material producto de intervenciones</t>
  </si>
  <si>
    <t>Desmonte de puertas existentes de 1.00m x 2.10m</t>
  </si>
  <si>
    <t xml:space="preserve">Cierres de hueco de puertas de 1.00m x 2.10m  en sheetrock </t>
  </si>
  <si>
    <t xml:space="preserve">Retiro de ventanas existentes </t>
  </si>
  <si>
    <t xml:space="preserve">Retiro de protectores de ventana en barras de hierro </t>
  </si>
  <si>
    <t>Suministro e instalación de plafón en vinyl yeso 2"x2", incluye estructura en Maintee y CrossTee color blanco.</t>
  </si>
  <si>
    <t>Suministro y aplicación de pintura satinada en muros interiores, 2 manos. Incluye preparación de superficie (masillado, lijado, rapillado, entre otros).</t>
  </si>
  <si>
    <t>p,a</t>
  </si>
  <si>
    <t xml:space="preserve">Traslado de material demolido y/o retirado a lugar de acopio </t>
  </si>
  <si>
    <t>Bote y limpieza final</t>
  </si>
  <si>
    <t>SALA DE AUDIENCIAS</t>
  </si>
  <si>
    <t>Mantenimiento en estrado existentes (Incluye plataforma)</t>
  </si>
  <si>
    <t xml:space="preserve">Mantenimiento en puertas  existentes A&lt;1.00m, H&lt;2.55 </t>
  </si>
  <si>
    <t xml:space="preserve">Mantenimiento en puertas  dobles existentes A&lt;1.80m, H&lt;2.55 </t>
  </si>
  <si>
    <t xml:space="preserve"> CENTRO DE SERVICIOS PRESENCIAL Y CENTRO DE CITACIONES Y NOTIFICACIONES</t>
  </si>
  <si>
    <t>Suministro e instalación de inodoro de tanque con tapa de caída lenta, de una pieza color blanco en porcelanato, taza elongada. Incluye todas las piezas y materiales necesarios para la instalación.</t>
  </si>
  <si>
    <t>MISCELANEOS</t>
  </si>
  <si>
    <t xml:space="preserve">Suministro y colocación de puerta en tola de 1/8'' y perfiles de hierros negros de 2''x2'' con marcos de perfiles 2''x3'' con llavín de buena calidad, pintadas con pintura antióxido industrial negra (ancho 68 1/2'' x alto 84 3/4'') </t>
  </si>
  <si>
    <t>Retiro de puertas de cubículos de baños</t>
  </si>
  <si>
    <t>Retiro de cerámicas en muros existentes</t>
  </si>
  <si>
    <t xml:space="preserve">Demolición de muros de bloques divisores existentes revestidos de cerámicas </t>
  </si>
  <si>
    <t>Retiro de plafón de techo (Incluye estructuras)</t>
  </si>
  <si>
    <t>Suministro y colocación de muros en denglas en vertedero)</t>
  </si>
  <si>
    <t>Suministro y colocación de plafón vinil yeso 2' x 2' (Incluye estructuras)</t>
  </si>
  <si>
    <t>Suministro e instalación luminarias de plafón LED 2´x 2´, luz blanca 6500K, 100/277V, 4000LM, 40W.</t>
  </si>
  <si>
    <t>Demolición de muros de sheetrock existente</t>
  </si>
  <si>
    <t>Retiro de plafón existente (Incluye estructuras)</t>
  </si>
  <si>
    <t>Retiro de lámparas de plafón existentes</t>
  </si>
  <si>
    <t>Demolición en muro de bloques bajo nivel de ventana para apertura de hueco de 1.80m (Incluye terminación)</t>
  </si>
  <si>
    <t>Reconexión de salidas data afectadas con la demolición de muro)</t>
  </si>
  <si>
    <t>Reconexión de salidas eléctricas afectadas con la demolición de muro)</t>
  </si>
  <si>
    <t>Reposición de piso (espacio de muro demolido)</t>
  </si>
  <si>
    <t xml:space="preserve">Suministro y colocación de zócalos similar a los existentes </t>
  </si>
  <si>
    <t>Alimentador eléctrico en tuberías de PCV 3/4 (incluye registro 6x6 en muro de sheetrock</t>
  </si>
  <si>
    <t>Alimentador de servicios de data en tuberías de PCV 1 1/2''  (incluye registro  en muro de sheetrock</t>
  </si>
  <si>
    <t>Canalización sobre plafón en tuberías PVC1 1/2'' para salidas de data ancladas en muros y losa</t>
  </si>
  <si>
    <t>Reubicación de interruptor de luces (Incluye ranurado en muro, nuevo alambrado, terminación)</t>
  </si>
  <si>
    <t>Retiro de puerta de una hoja metálica en caseta existente</t>
  </si>
  <si>
    <t>Retiro de puerta de dos hoja metálica en caseta existente</t>
  </si>
  <si>
    <t xml:space="preserve">Suministro y colocación de puerta en tola de 1/8'' y perfiles de hierros negros de 2''x2'' con marcos de perfiles 2''x3'', pintadas con pintura antióxido industrial negra (ancho 68 1/2'' x alto 84 3/4'') </t>
  </si>
  <si>
    <t>Suministro e instalación de muros en sheetrock (Incluye estructura calibre22)</t>
  </si>
  <si>
    <t xml:space="preserve">Fascia en sheetrock sobre counter de ancho 0.25m y altura de 1.00m, ancladas a losa de techo </t>
  </si>
  <si>
    <t>ml</t>
  </si>
  <si>
    <t>Suministro e Instalación de División de Vidrio Fijo Templado 3/8'' en aluminio natural P40 (Vidrio Frontal Sobre Counter, ver diseño)</t>
  </si>
  <si>
    <t>Pulido, brillado y cristalizado de pisos de granito existentes</t>
  </si>
  <si>
    <t>Ampliación de hueco de puerta de 0.79m de ancho @ 1.00m de ancho (Incluye terminación)</t>
  </si>
  <si>
    <t>Apertura de puerta de 1.00m x 2.10m en muro de sheetrock (Incluye reestructura, esquineros, refuerzos y terminación</t>
  </si>
  <si>
    <t>Suministro e Instalación Tomacorrientes 110 v Polímero Color blanco en tuberías de 3/4''</t>
  </si>
  <si>
    <t>Suministro e Instalación Salida de Data en tuberías de 3/4'' (incluye mensajero)</t>
  </si>
  <si>
    <t>Suministro y colocación de puerta de caoba de 0.90m x 2.10m (Incluye marcos,  llavín tipo palanca y botella hidráulica)</t>
  </si>
  <si>
    <t>Suministro y colocación de puerta de cristal en perfilería P-40 de dos hojas (Incluye tiradores, llavín y botellas hidráulicas</t>
  </si>
  <si>
    <t>Suministro e instalación counter en muros en sheetrock  (Incluye estructura calibre22, refuerzos y tope de madera caoba según lo indicado en plano)</t>
  </si>
  <si>
    <t>2023-003</t>
  </si>
  <si>
    <t>DIRECCIÓN DEL PROYECTO Palacio de Justicia  Nagua</t>
  </si>
  <si>
    <t xml:space="preserve">NOMBRE DEL PROYECTO      Adecuaciones de baños públicos y de centro de servicio presencial en el Palacio de Justicia de Nagua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</si>
</sst>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7" formatCode="[$$-2C0A]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5" fillId="0" borderId="0" xfId="0" applyFont="1"/>
    <xf numFmtId="0" fontId="6" fillId="6" borderId="0" xfId="0" applyFont="1" applyFill="1" applyAlignment="1">
      <alignment wrapText="1"/>
    </xf>
    <xf numFmtId="0" fontId="6" fillId="5" borderId="7" xfId="0" applyFont="1" applyFill="1" applyBorder="1" applyAlignment="1">
      <alignment wrapText="1"/>
    </xf>
    <xf numFmtId="0" fontId="6" fillId="5" borderId="0" xfId="0" applyFont="1" applyFill="1" applyAlignment="1">
      <alignment wrapText="1"/>
    </xf>
    <xf numFmtId="0" fontId="5" fillId="6" borderId="0" xfId="0" applyFont="1" applyFill="1"/>
    <xf numFmtId="0" fontId="7" fillId="6" borderId="0" xfId="0" applyFont="1" applyFill="1"/>
    <xf numFmtId="0" fontId="9" fillId="6" borderId="0" xfId="0" applyFont="1" applyFill="1" applyAlignment="1">
      <alignment wrapText="1"/>
    </xf>
    <xf numFmtId="0" fontId="9" fillId="5" borderId="15" xfId="0" applyFont="1" applyFill="1" applyBorder="1"/>
    <xf numFmtId="0" fontId="9" fillId="5" borderId="0" xfId="0" applyFont="1" applyFill="1"/>
    <xf numFmtId="0" fontId="9" fillId="6" borderId="0" xfId="0" applyFont="1" applyFill="1"/>
    <xf numFmtId="0" fontId="11" fillId="5" borderId="16" xfId="0" applyFont="1" applyFill="1" applyBorder="1" applyAlignment="1">
      <alignment horizontal="center" vertical="center"/>
    </xf>
    <xf numFmtId="0" fontId="8" fillId="6" borderId="0" xfId="0" applyFont="1" applyFill="1"/>
    <xf numFmtId="0" fontId="11" fillId="6" borderId="0" xfId="0" applyFont="1" applyFill="1"/>
    <xf numFmtId="0" fontId="6" fillId="6" borderId="0" xfId="0" applyFont="1" applyFill="1"/>
    <xf numFmtId="0" fontId="10" fillId="5" borderId="15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2" fillId="6" borderId="0" xfId="0" applyFont="1" applyFill="1"/>
    <xf numFmtId="0" fontId="6" fillId="8" borderId="18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wrapText="1"/>
    </xf>
    <xf numFmtId="4" fontId="13" fillId="0" borderId="0" xfId="1" applyNumberFormat="1" applyFont="1" applyFill="1" applyBorder="1" applyAlignment="1">
      <alignment horizontal="center" vertical="center"/>
    </xf>
    <xf numFmtId="4" fontId="13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vertical="center"/>
    </xf>
    <xf numFmtId="4" fontId="13" fillId="2" borderId="1" xfId="1" applyNumberFormat="1" applyFont="1" applyBorder="1" applyAlignment="1">
      <alignment horizontal="center"/>
    </xf>
    <xf numFmtId="0" fontId="13" fillId="2" borderId="2" xfId="1" applyFont="1" applyBorder="1" applyAlignment="1">
      <alignment horizontal="right" wrapText="1"/>
    </xf>
    <xf numFmtId="4" fontId="13" fillId="2" borderId="2" xfId="1" applyNumberFormat="1" applyFont="1" applyBorder="1" applyAlignment="1">
      <alignment horizontal="center" vertical="center"/>
    </xf>
    <xf numFmtId="4" fontId="13" fillId="2" borderId="2" xfId="1" applyNumberFormat="1" applyFont="1" applyBorder="1" applyAlignment="1">
      <alignment horizontal="center"/>
    </xf>
    <xf numFmtId="4" fontId="13" fillId="2" borderId="2" xfId="1" applyNumberFormat="1" applyFont="1" applyBorder="1"/>
    <xf numFmtId="165" fontId="13" fillId="2" borderId="3" xfId="1" applyNumberFormat="1" applyFont="1" applyBorder="1"/>
    <xf numFmtId="0" fontId="14" fillId="0" borderId="0" xfId="0" applyFont="1" applyAlignment="1">
      <alignment vertical="center"/>
    </xf>
    <xf numFmtId="2" fontId="15" fillId="3" borderId="1" xfId="0" applyNumberFormat="1" applyFont="1" applyFill="1" applyBorder="1" applyAlignment="1">
      <alignment horizontal="center" vertical="center"/>
    </xf>
    <xf numFmtId="4" fontId="16" fillId="3" borderId="2" xfId="2" applyNumberFormat="1" applyFont="1" applyFill="1" applyBorder="1" applyAlignment="1">
      <alignment horizontal="right"/>
    </xf>
    <xf numFmtId="4" fontId="16" fillId="3" borderId="2" xfId="2" applyNumberFormat="1" applyFont="1" applyFill="1" applyBorder="1" applyAlignment="1">
      <alignment horizontal="center"/>
    </xf>
    <xf numFmtId="165" fontId="13" fillId="4" borderId="3" xfId="1" applyNumberFormat="1" applyFont="1" applyFill="1" applyBorder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2" fontId="16" fillId="3" borderId="2" xfId="0" applyNumberFormat="1" applyFont="1" applyFill="1" applyBorder="1"/>
    <xf numFmtId="2" fontId="5" fillId="0" borderId="0" xfId="0" applyNumberFormat="1" applyFont="1" applyAlignment="1">
      <alignment horizontal="center" vertical="center"/>
    </xf>
    <xf numFmtId="4" fontId="16" fillId="0" borderId="0" xfId="2" applyNumberFormat="1" applyFont="1" applyFill="1" applyBorder="1" applyAlignment="1">
      <alignment horizontal="right" vertical="center"/>
    </xf>
    <xf numFmtId="4" fontId="16" fillId="0" borderId="0" xfId="2" applyNumberFormat="1" applyFont="1" applyFill="1" applyBorder="1" applyAlignment="1">
      <alignment horizontal="center" vertical="center"/>
    </xf>
    <xf numFmtId="4" fontId="16" fillId="0" borderId="0" xfId="2" applyNumberFormat="1" applyFont="1" applyFill="1" applyBorder="1" applyAlignment="1">
      <alignment horizontal="right"/>
    </xf>
    <xf numFmtId="4" fontId="16" fillId="0" borderId="0" xfId="3" applyNumberFormat="1" applyFont="1" applyFill="1" applyBorder="1" applyAlignment="1">
      <alignment horizontal="right" vertical="center"/>
    </xf>
    <xf numFmtId="2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justify"/>
    </xf>
    <xf numFmtId="2" fontId="15" fillId="0" borderId="4" xfId="0" applyNumberFormat="1" applyFont="1" applyBorder="1" applyAlignment="1">
      <alignment horizontal="center" vertical="center"/>
    </xf>
    <xf numFmtId="10" fontId="15" fillId="0" borderId="4" xfId="4" applyNumberFormat="1" applyFont="1" applyBorder="1" applyAlignment="1">
      <alignment horizontal="center" vertical="center"/>
    </xf>
    <xf numFmtId="4" fontId="15" fillId="0" borderId="4" xfId="2" applyNumberFormat="1" applyFont="1" applyFill="1" applyBorder="1" applyAlignment="1">
      <alignment horizontal="right" vertical="center"/>
    </xf>
    <xf numFmtId="4" fontId="15" fillId="0" borderId="4" xfId="3" applyNumberFormat="1" applyFont="1" applyFill="1" applyBorder="1" applyAlignment="1">
      <alignment horizontal="right" vertical="center"/>
    </xf>
    <xf numFmtId="2" fontId="15" fillId="0" borderId="5" xfId="0" applyNumberFormat="1" applyFont="1" applyBorder="1" applyAlignment="1">
      <alignment horizontal="center" vertical="center"/>
    </xf>
    <xf numFmtId="10" fontId="15" fillId="0" borderId="5" xfId="4" applyNumberFormat="1" applyFont="1" applyBorder="1" applyAlignment="1">
      <alignment horizontal="center" vertical="center"/>
    </xf>
    <xf numFmtId="4" fontId="15" fillId="0" borderId="5" xfId="2" applyNumberFormat="1" applyFont="1" applyFill="1" applyBorder="1" applyAlignment="1">
      <alignment horizontal="right" vertical="center"/>
    </xf>
    <xf numFmtId="2" fontId="15" fillId="0" borderId="0" xfId="0" applyNumberFormat="1" applyFont="1" applyAlignment="1">
      <alignment horizontal="center" vertical="center"/>
    </xf>
    <xf numFmtId="4" fontId="15" fillId="0" borderId="0" xfId="4" applyNumberFormat="1" applyFont="1" applyBorder="1" applyAlignment="1" applyProtection="1">
      <alignment horizontal="center"/>
    </xf>
    <xf numFmtId="4" fontId="15" fillId="0" borderId="0" xfId="0" applyNumberFormat="1" applyFont="1" applyAlignment="1">
      <alignment horizontal="center"/>
    </xf>
    <xf numFmtId="10" fontId="15" fillId="0" borderId="0" xfId="4" applyNumberFormat="1" applyFont="1" applyBorder="1" applyAlignment="1">
      <alignment horizontal="center"/>
    </xf>
    <xf numFmtId="4" fontId="15" fillId="0" borderId="0" xfId="2" applyNumberFormat="1" applyFont="1" applyFill="1" applyBorder="1" applyAlignment="1">
      <alignment horizontal="right"/>
    </xf>
    <xf numFmtId="4" fontId="15" fillId="0" borderId="0" xfId="3" applyNumberFormat="1" applyFont="1" applyFill="1" applyBorder="1" applyAlignment="1">
      <alignment horizontal="right" vertical="center"/>
    </xf>
    <xf numFmtId="2" fontId="15" fillId="3" borderId="13" xfId="0" applyNumberFormat="1" applyFont="1" applyFill="1" applyBorder="1" applyAlignment="1">
      <alignment horizontal="center" vertical="center"/>
    </xf>
    <xf numFmtId="2" fontId="16" fillId="3" borderId="14" xfId="0" applyNumberFormat="1" applyFont="1" applyFill="1" applyBorder="1"/>
    <xf numFmtId="4" fontId="16" fillId="3" borderId="14" xfId="2" applyNumberFormat="1" applyFont="1" applyFill="1" applyBorder="1" applyAlignment="1">
      <alignment horizontal="right"/>
    </xf>
    <xf numFmtId="4" fontId="16" fillId="3" borderId="14" xfId="2" applyNumberFormat="1" applyFont="1" applyFill="1" applyBorder="1" applyAlignment="1">
      <alignment horizontal="center"/>
    </xf>
    <xf numFmtId="10" fontId="16" fillId="3" borderId="14" xfId="4" applyNumberFormat="1" applyFont="1" applyFill="1" applyBorder="1" applyAlignment="1">
      <alignment horizontal="center"/>
    </xf>
    <xf numFmtId="10" fontId="15" fillId="0" borderId="4" xfId="4" applyNumberFormat="1" applyFont="1" applyBorder="1" applyAlignment="1">
      <alignment horizontal="center"/>
    </xf>
    <xf numFmtId="4" fontId="15" fillId="0" borderId="4" xfId="2" applyNumberFormat="1" applyFont="1" applyFill="1" applyBorder="1" applyAlignment="1">
      <alignment horizontal="right"/>
    </xf>
    <xf numFmtId="2" fontId="15" fillId="3" borderId="9" xfId="0" applyNumberFormat="1" applyFont="1" applyFill="1" applyBorder="1" applyAlignment="1">
      <alignment horizontal="center" vertical="center"/>
    </xf>
    <xf numFmtId="2" fontId="16" fillId="3" borderId="10" xfId="0" applyNumberFormat="1" applyFont="1" applyFill="1" applyBorder="1"/>
    <xf numFmtId="4" fontId="16" fillId="3" borderId="10" xfId="2" applyNumberFormat="1" applyFont="1" applyFill="1" applyBorder="1" applyAlignment="1">
      <alignment horizontal="right"/>
    </xf>
    <xf numFmtId="4" fontId="16" fillId="3" borderId="10" xfId="2" applyNumberFormat="1" applyFont="1" applyFill="1" applyBorder="1" applyAlignment="1">
      <alignment horizontal="center"/>
    </xf>
    <xf numFmtId="10" fontId="16" fillId="3" borderId="10" xfId="4" applyNumberFormat="1" applyFont="1" applyFill="1" applyBorder="1" applyAlignment="1">
      <alignment horizontal="right"/>
    </xf>
    <xf numFmtId="2" fontId="1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15" fillId="0" borderId="0" xfId="4" applyNumberFormat="1" applyFont="1" applyBorder="1" applyAlignment="1" applyProtection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10" fontId="15" fillId="0" borderId="0" xfId="4" applyNumberFormat="1" applyFont="1" applyBorder="1" applyAlignment="1">
      <alignment horizontal="center" vertical="center" wrapText="1"/>
    </xf>
    <xf numFmtId="4" fontId="15" fillId="0" borderId="0" xfId="2" applyNumberFormat="1" applyFont="1" applyFill="1" applyBorder="1" applyAlignment="1">
      <alignment horizontal="center" wrapText="1"/>
    </xf>
    <xf numFmtId="4" fontId="15" fillId="0" borderId="0" xfId="3" applyNumberFormat="1" applyFont="1" applyFill="1" applyBorder="1" applyAlignment="1">
      <alignment horizontal="right"/>
    </xf>
    <xf numFmtId="10" fontId="16" fillId="3" borderId="14" xfId="4" applyNumberFormat="1" applyFont="1" applyFill="1" applyBorder="1" applyAlignment="1">
      <alignment horizontal="right"/>
    </xf>
    <xf numFmtId="4" fontId="15" fillId="0" borderId="0" xfId="4" applyNumberFormat="1" applyFont="1" applyAlignment="1" applyProtection="1">
      <alignment horizontal="center"/>
    </xf>
    <xf numFmtId="10" fontId="15" fillId="0" borderId="0" xfId="4" applyNumberFormat="1" applyFont="1"/>
    <xf numFmtId="4" fontId="16" fillId="0" borderId="0" xfId="4" applyNumberFormat="1" applyFont="1" applyAlignment="1"/>
    <xf numFmtId="4" fontId="16" fillId="0" borderId="0" xfId="4" applyNumberFormat="1" applyFont="1"/>
    <xf numFmtId="164" fontId="15" fillId="3" borderId="13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15" fillId="0" borderId="23" xfId="5" applyNumberFormat="1" applyFont="1" applyBorder="1" applyAlignment="1">
      <alignment horizontal="center" vertical="center"/>
    </xf>
    <xf numFmtId="2" fontId="15" fillId="0" borderId="25" xfId="5" applyNumberFormat="1" applyFont="1" applyBorder="1" applyAlignment="1">
      <alignment horizontal="center" vertical="center"/>
    </xf>
    <xf numFmtId="44" fontId="0" fillId="0" borderId="0" xfId="3" applyFont="1" applyAlignment="1">
      <alignment vertical="center"/>
    </xf>
    <xf numFmtId="4" fontId="14" fillId="0" borderId="26" xfId="0" applyNumberFormat="1" applyFont="1" applyBorder="1" applyAlignment="1">
      <alignment vertical="center"/>
    </xf>
    <xf numFmtId="2" fontId="14" fillId="0" borderId="15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16" fontId="0" fillId="0" borderId="0" xfId="0" applyNumberFormat="1" applyAlignment="1">
      <alignment vertical="center"/>
    </xf>
    <xf numFmtId="0" fontId="9" fillId="7" borderId="15" xfId="0" applyFont="1" applyFill="1" applyBorder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10" fillId="5" borderId="11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0" fillId="5" borderId="17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/>
    </xf>
    <xf numFmtId="167" fontId="15" fillId="0" borderId="4" xfId="0" applyNumberFormat="1" applyFont="1" applyBorder="1" applyAlignment="1">
      <alignment vertical="center" wrapText="1"/>
    </xf>
    <xf numFmtId="4" fontId="15" fillId="0" borderId="4" xfId="5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vertical="center"/>
    </xf>
    <xf numFmtId="167" fontId="15" fillId="6" borderId="4" xfId="0" applyNumberFormat="1" applyFont="1" applyFill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167" fontId="15" fillId="0" borderId="4" xfId="0" applyNumberFormat="1" applyFont="1" applyBorder="1" applyAlignment="1">
      <alignment horizontal="left" vertical="center" wrapText="1"/>
    </xf>
    <xf numFmtId="4" fontId="14" fillId="0" borderId="4" xfId="0" applyNumberFormat="1" applyFont="1" applyBorder="1" applyAlignment="1">
      <alignment horizontal="center" vertical="center"/>
    </xf>
    <xf numFmtId="4" fontId="15" fillId="0" borderId="4" xfId="5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vertical="center"/>
    </xf>
    <xf numFmtId="43" fontId="15" fillId="0" borderId="4" xfId="0" applyNumberFormat="1" applyFont="1" applyBorder="1" applyAlignment="1" applyProtection="1">
      <alignment horizontal="right" vertical="center"/>
      <protection locked="0"/>
    </xf>
    <xf numFmtId="4" fontId="13" fillId="2" borderId="2" xfId="1" applyNumberFormat="1" applyFont="1" applyBorder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4" fontId="14" fillId="0" borderId="0" xfId="0" applyNumberFormat="1" applyFont="1" applyAlignment="1" applyProtection="1">
      <alignment vertical="center"/>
      <protection locked="0"/>
    </xf>
    <xf numFmtId="4" fontId="14" fillId="0" borderId="4" xfId="0" applyNumberFormat="1" applyFont="1" applyBorder="1" applyAlignment="1" applyProtection="1">
      <alignment vertical="center"/>
      <protection locked="0"/>
    </xf>
    <xf numFmtId="4" fontId="14" fillId="0" borderId="4" xfId="0" applyNumberFormat="1" applyFont="1" applyFill="1" applyBorder="1" applyAlignment="1" applyProtection="1">
      <alignment vertical="center"/>
      <protection locked="0"/>
    </xf>
    <xf numFmtId="2" fontId="5" fillId="0" borderId="6" xfId="0" applyNumberFormat="1" applyFont="1" applyBorder="1" applyProtection="1">
      <protection locked="0"/>
    </xf>
    <xf numFmtId="0" fontId="6" fillId="5" borderId="7" xfId="0" applyFont="1" applyFill="1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center"/>
      <protection locked="0"/>
    </xf>
    <xf numFmtId="43" fontId="5" fillId="0" borderId="7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7" fillId="5" borderId="8" xfId="0" applyFont="1" applyFill="1" applyBorder="1" applyProtection="1">
      <protection locked="0"/>
    </xf>
    <xf numFmtId="0" fontId="8" fillId="5" borderId="15" xfId="0" applyFont="1" applyFill="1" applyBorder="1" applyProtection="1">
      <protection locked="0"/>
    </xf>
    <xf numFmtId="0" fontId="6" fillId="5" borderId="0" xfId="0" applyFont="1" applyFill="1" applyBorder="1" applyAlignment="1" applyProtection="1">
      <alignment horizontal="center" wrapText="1"/>
      <protection locked="0"/>
    </xf>
    <xf numFmtId="0" fontId="6" fillId="5" borderId="0" xfId="0" applyFont="1" applyFill="1" applyBorder="1" applyAlignment="1" applyProtection="1">
      <alignment horizontal="left" wrapText="1"/>
      <protection locked="0"/>
    </xf>
    <xf numFmtId="43" fontId="5" fillId="0" borderId="0" xfId="0" applyNumberFormat="1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Protection="1">
      <protection locked="0"/>
    </xf>
    <xf numFmtId="0" fontId="7" fillId="5" borderId="26" xfId="0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5" fillId="0" borderId="30" xfId="0" applyFont="1" applyBorder="1" applyProtection="1">
      <protection locked="0"/>
    </xf>
    <xf numFmtId="0" fontId="6" fillId="5" borderId="30" xfId="0" applyFont="1" applyFill="1" applyBorder="1" applyAlignment="1" applyProtection="1">
      <alignment wrapText="1"/>
      <protection locked="0"/>
    </xf>
    <xf numFmtId="0" fontId="6" fillId="5" borderId="31" xfId="0" applyFont="1" applyFill="1" applyBorder="1" applyAlignment="1" applyProtection="1">
      <alignment wrapText="1"/>
      <protection locked="0"/>
    </xf>
  </cellXfs>
  <cellStyles count="9">
    <cellStyle name="60% - Énfasis3" xfId="1" builtinId="40"/>
    <cellStyle name="Comma 2" xfId="6"/>
    <cellStyle name="Currency 2" xfId="7"/>
    <cellStyle name="Millares" xfId="2" builtinId="3"/>
    <cellStyle name="Moneda" xfId="3" builtinId="4"/>
    <cellStyle name="Normal" xfId="0" builtinId="0"/>
    <cellStyle name="Normal 2" xfId="5"/>
    <cellStyle name="Percent 2" xfId="8"/>
    <cellStyle name="Porcentaje" xfId="4" builtinId="5"/>
  </cellStyles>
  <dxfs count="0"/>
  <tableStyles count="0" defaultTableStyle="TableStyleMedium2" defaultPivotStyle="PivotStyleMedium9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showGridLines="0" tabSelected="1" view="pageBreakPreview" zoomScaleNormal="80" zoomScaleSheetLayoutView="100" workbookViewId="0">
      <selection activeCell="F90" sqref="F90"/>
    </sheetView>
  </sheetViews>
  <sheetFormatPr baseColWidth="10" defaultColWidth="9.140625" defaultRowHeight="15" x14ac:dyDescent="0.25"/>
  <cols>
    <col min="1" max="1" width="8" style="8" customWidth="1"/>
    <col min="2" max="2" width="71" style="1" customWidth="1"/>
    <col min="3" max="3" width="11" style="3" customWidth="1"/>
    <col min="4" max="4" width="7.5703125" style="5" customWidth="1"/>
    <col min="5" max="5" width="12.42578125" style="4" customWidth="1"/>
    <col min="6" max="6" width="14" style="4" customWidth="1"/>
    <col min="7" max="7" width="13.7109375" style="4" customWidth="1"/>
    <col min="8" max="8" width="2.7109375" customWidth="1"/>
    <col min="9" max="9" width="14.140625" hidden="1" customWidth="1"/>
    <col min="10" max="10" width="13.7109375" hidden="1" customWidth="1"/>
    <col min="11" max="11" width="9.140625" hidden="1" customWidth="1"/>
    <col min="12" max="12" width="0" hidden="1" customWidth="1"/>
  </cols>
  <sheetData>
    <row r="1" spans="1:17" s="11" customFormat="1" ht="14.25" customHeight="1" x14ac:dyDescent="0.25">
      <c r="A1" s="152"/>
      <c r="B1" s="153"/>
      <c r="C1" s="153"/>
      <c r="D1" s="154"/>
      <c r="E1" s="155"/>
      <c r="F1" s="156"/>
      <c r="G1" s="157"/>
      <c r="H1" s="12"/>
      <c r="I1" s="12"/>
      <c r="J1" s="13"/>
      <c r="K1" s="13"/>
      <c r="L1" s="13"/>
      <c r="M1" s="13"/>
      <c r="N1" s="13"/>
      <c r="O1" s="13"/>
      <c r="P1" s="13"/>
      <c r="Q1" s="13"/>
    </row>
    <row r="2" spans="1:17" s="11" customFormat="1" ht="14.25" customHeight="1" x14ac:dyDescent="0.3">
      <c r="A2" s="158"/>
      <c r="B2" s="159"/>
      <c r="C2" s="159"/>
      <c r="D2" s="160"/>
      <c r="E2" s="161"/>
      <c r="F2" s="160"/>
      <c r="G2" s="162"/>
      <c r="H2" s="12"/>
      <c r="I2" s="12"/>
      <c r="J2" s="14"/>
      <c r="K2" s="14"/>
      <c r="L2" s="14"/>
      <c r="M2" s="14"/>
      <c r="N2" s="14"/>
      <c r="O2" s="14"/>
      <c r="P2" s="14"/>
      <c r="Q2" s="14"/>
    </row>
    <row r="3" spans="1:17" s="11" customFormat="1" ht="24.75" customHeight="1" x14ac:dyDescent="0.3">
      <c r="A3" s="158"/>
      <c r="B3" s="163"/>
      <c r="C3" s="163"/>
      <c r="D3" s="163"/>
      <c r="E3" s="164"/>
      <c r="F3" s="163"/>
      <c r="G3" s="165"/>
      <c r="H3" s="12"/>
      <c r="I3" s="12"/>
      <c r="J3" s="14"/>
      <c r="K3" s="14"/>
      <c r="L3" s="14"/>
      <c r="M3" s="14"/>
      <c r="N3" s="14"/>
      <c r="O3" s="14"/>
      <c r="P3" s="14"/>
      <c r="Q3" s="14"/>
    </row>
    <row r="4" spans="1:17" s="11" customFormat="1" ht="14.25" customHeight="1" x14ac:dyDescent="0.25">
      <c r="A4" s="166"/>
      <c r="B4" s="167"/>
      <c r="C4" s="167"/>
      <c r="D4" s="164"/>
      <c r="E4" s="164"/>
      <c r="F4" s="164"/>
      <c r="G4" s="165"/>
      <c r="H4" s="12"/>
      <c r="I4" s="12"/>
      <c r="J4" s="14"/>
      <c r="K4" s="14"/>
      <c r="L4" s="14"/>
      <c r="M4" s="14"/>
      <c r="N4" s="14"/>
      <c r="O4" s="14"/>
      <c r="P4" s="14"/>
      <c r="Q4" s="14"/>
    </row>
    <row r="5" spans="1:17" s="11" customFormat="1" ht="18.75" customHeight="1" x14ac:dyDescent="0.25">
      <c r="A5" s="168"/>
      <c r="B5" s="169"/>
      <c r="C5" s="169"/>
      <c r="D5" s="170"/>
      <c r="E5" s="170"/>
      <c r="F5" s="171"/>
      <c r="G5" s="172"/>
      <c r="H5" s="12"/>
      <c r="I5" s="12"/>
      <c r="J5" s="12"/>
      <c r="K5" s="12"/>
      <c r="L5" s="12"/>
      <c r="M5" s="15"/>
      <c r="N5" s="16"/>
      <c r="O5" s="16"/>
      <c r="P5" s="16"/>
    </row>
    <row r="6" spans="1:17" s="11" customFormat="1" ht="14.25" customHeight="1" x14ac:dyDescent="0.25">
      <c r="A6" s="119" t="s">
        <v>0</v>
      </c>
      <c r="B6" s="120"/>
      <c r="C6" s="120"/>
      <c r="D6" s="120"/>
      <c r="E6" s="120"/>
      <c r="F6" s="120"/>
      <c r="G6" s="120"/>
      <c r="H6" s="12"/>
      <c r="I6" s="12"/>
      <c r="J6" s="17"/>
      <c r="K6" s="17"/>
      <c r="L6" s="17"/>
      <c r="M6" s="17"/>
      <c r="N6" s="17"/>
      <c r="O6" s="17"/>
      <c r="P6" s="17"/>
    </row>
    <row r="7" spans="1:17" s="11" customFormat="1" ht="14.25" customHeight="1" x14ac:dyDescent="0.25">
      <c r="A7" s="18" t="s">
        <v>1</v>
      </c>
      <c r="B7" s="19"/>
      <c r="C7" s="19"/>
      <c r="D7" s="19"/>
      <c r="E7" s="19"/>
      <c r="F7" s="19"/>
      <c r="G7" s="19"/>
      <c r="H7" s="20"/>
      <c r="I7" s="20"/>
      <c r="J7" s="20"/>
      <c r="K7" s="20"/>
      <c r="L7" s="20"/>
      <c r="M7" s="20"/>
      <c r="N7" s="20"/>
      <c r="O7" s="20"/>
      <c r="P7" s="20"/>
    </row>
    <row r="8" spans="1:17" s="11" customFormat="1" ht="30.75" customHeight="1" x14ac:dyDescent="0.3">
      <c r="A8" s="132" t="s">
        <v>114</v>
      </c>
      <c r="B8" s="133"/>
      <c r="C8" s="133"/>
      <c r="D8" s="123" t="s">
        <v>2</v>
      </c>
      <c r="E8" s="123"/>
      <c r="F8" s="123"/>
      <c r="G8" s="21" t="s">
        <v>112</v>
      </c>
      <c r="H8" s="23"/>
      <c r="I8" s="23"/>
      <c r="J8" s="15"/>
      <c r="K8" s="15"/>
      <c r="L8" s="15"/>
      <c r="M8" s="15"/>
      <c r="N8" s="15"/>
      <c r="O8" s="15"/>
      <c r="P8" s="22"/>
    </row>
    <row r="9" spans="1:17" s="11" customFormat="1" ht="49.5" customHeight="1" x14ac:dyDescent="0.3">
      <c r="A9" s="121" t="s">
        <v>113</v>
      </c>
      <c r="B9" s="122"/>
      <c r="C9" s="122"/>
      <c r="D9" s="122"/>
      <c r="E9" s="122"/>
      <c r="F9" s="122"/>
      <c r="G9" s="127"/>
      <c r="H9" s="23"/>
      <c r="I9" s="23"/>
      <c r="J9" s="15"/>
      <c r="K9" s="24"/>
      <c r="L9" s="15"/>
      <c r="M9" s="15"/>
      <c r="N9" s="15"/>
      <c r="O9" s="15"/>
      <c r="P9" s="22"/>
    </row>
    <row r="10" spans="1:17" s="11" customFormat="1" ht="14.25" customHeight="1" x14ac:dyDescent="0.3">
      <c r="A10" s="25" t="s">
        <v>1</v>
      </c>
      <c r="B10" s="26"/>
      <c r="C10" s="26"/>
      <c r="D10" s="26"/>
      <c r="E10" s="26"/>
      <c r="F10" s="26"/>
      <c r="G10" s="26"/>
      <c r="H10" s="27"/>
      <c r="I10" s="22"/>
      <c r="J10" s="15"/>
      <c r="K10" s="15"/>
      <c r="L10" s="28"/>
      <c r="M10" s="28"/>
      <c r="N10" s="28"/>
      <c r="O10" s="28"/>
      <c r="P10" s="28"/>
    </row>
    <row r="11" spans="1:17" s="11" customFormat="1" ht="14.25" customHeight="1" thickBot="1" x14ac:dyDescent="0.3">
      <c r="A11" s="119" t="s">
        <v>3</v>
      </c>
      <c r="B11" s="120"/>
      <c r="C11" s="120"/>
      <c r="D11" s="120"/>
      <c r="E11" s="120"/>
      <c r="F11" s="120"/>
      <c r="G11" s="120"/>
      <c r="H11" s="17"/>
      <c r="I11" s="17"/>
      <c r="J11" s="17"/>
      <c r="K11" s="17"/>
      <c r="L11" s="17"/>
      <c r="M11" s="17"/>
      <c r="N11" s="17"/>
      <c r="O11" s="17"/>
      <c r="P11" s="17"/>
      <c r="Q11" s="15"/>
    </row>
    <row r="12" spans="1:17" s="11" customFormat="1" ht="37.5" customHeight="1" thickBot="1" x14ac:dyDescent="0.25">
      <c r="A12" s="29" t="s">
        <v>4</v>
      </c>
      <c r="B12" s="30" t="s">
        <v>5</v>
      </c>
      <c r="C12" s="30" t="s">
        <v>6</v>
      </c>
      <c r="D12" s="31" t="s">
        <v>7</v>
      </c>
      <c r="E12" s="32" t="s">
        <v>8</v>
      </c>
      <c r="F12" s="33" t="s">
        <v>9</v>
      </c>
      <c r="G12" s="30" t="s">
        <v>10</v>
      </c>
      <c r="I12" s="102" t="s">
        <v>11</v>
      </c>
      <c r="J12" s="102" t="s">
        <v>12</v>
      </c>
    </row>
    <row r="13" spans="1:17" s="2" customFormat="1" ht="18.75" customHeight="1" x14ac:dyDescent="0.25">
      <c r="A13" s="34"/>
      <c r="B13" s="35"/>
      <c r="C13" s="36"/>
      <c r="D13" s="37"/>
      <c r="E13" s="37"/>
      <c r="F13" s="37"/>
      <c r="G13" s="37"/>
    </row>
    <row r="14" spans="1:17" s="6" customFormat="1" x14ac:dyDescent="0.25">
      <c r="A14" s="114">
        <v>1</v>
      </c>
      <c r="B14" s="38" t="s">
        <v>53</v>
      </c>
      <c r="C14" s="39"/>
      <c r="D14" s="39"/>
      <c r="E14" s="40"/>
      <c r="F14" s="40"/>
      <c r="G14" s="112"/>
    </row>
    <row r="15" spans="1:17" s="6" customFormat="1" ht="30" customHeight="1" x14ac:dyDescent="0.2">
      <c r="A15" s="134">
        <f>A14+0.01</f>
        <v>1.01</v>
      </c>
      <c r="B15" s="135" t="s">
        <v>43</v>
      </c>
      <c r="C15" s="136">
        <v>1</v>
      </c>
      <c r="D15" s="63" t="s">
        <v>13</v>
      </c>
      <c r="E15" s="146"/>
      <c r="F15" s="137">
        <f>C15*E15</f>
        <v>0</v>
      </c>
      <c r="G15" s="112"/>
      <c r="H15" s="9"/>
      <c r="I15" s="106">
        <v>1</v>
      </c>
      <c r="J15" s="107">
        <v>1</v>
      </c>
    </row>
    <row r="16" spans="1:17" s="6" customFormat="1" ht="30" customHeight="1" x14ac:dyDescent="0.2">
      <c r="A16" s="134">
        <f>A15+0.01</f>
        <v>1.02</v>
      </c>
      <c r="B16" s="135" t="s">
        <v>78</v>
      </c>
      <c r="C16" s="136">
        <v>2</v>
      </c>
      <c r="D16" s="63" t="s">
        <v>13</v>
      </c>
      <c r="E16" s="146"/>
      <c r="F16" s="137">
        <f t="shared" ref="F16:F43" si="0">C16*E16</f>
        <v>0</v>
      </c>
      <c r="G16" s="112"/>
      <c r="H16" s="9"/>
      <c r="I16" s="116">
        <v>2</v>
      </c>
      <c r="J16" s="117"/>
    </row>
    <row r="17" spans="1:11" s="6" customFormat="1" ht="28.15" customHeight="1" x14ac:dyDescent="0.2">
      <c r="A17" s="134">
        <f t="shared" ref="A17:A43" si="1">A16+0.01</f>
        <v>1.03</v>
      </c>
      <c r="B17" s="138" t="s">
        <v>18</v>
      </c>
      <c r="C17" s="136">
        <v>2</v>
      </c>
      <c r="D17" s="63" t="s">
        <v>13</v>
      </c>
      <c r="E17" s="146"/>
      <c r="F17" s="137">
        <f t="shared" si="0"/>
        <v>0</v>
      </c>
      <c r="G17" s="112"/>
      <c r="H17" s="9"/>
      <c r="I17" s="105">
        <v>2</v>
      </c>
      <c r="J17" s="108">
        <v>2</v>
      </c>
    </row>
    <row r="18" spans="1:11" s="6" customFormat="1" ht="33" customHeight="1" x14ac:dyDescent="0.2">
      <c r="A18" s="134">
        <f t="shared" si="1"/>
        <v>1.04</v>
      </c>
      <c r="B18" s="138" t="s">
        <v>54</v>
      </c>
      <c r="C18" s="136">
        <v>1</v>
      </c>
      <c r="D18" s="63" t="s">
        <v>13</v>
      </c>
      <c r="E18" s="146"/>
      <c r="F18" s="137">
        <f t="shared" si="0"/>
        <v>0</v>
      </c>
      <c r="G18" s="112"/>
      <c r="H18" s="9"/>
      <c r="I18" s="105">
        <v>1</v>
      </c>
      <c r="J18" s="108">
        <v>1</v>
      </c>
    </row>
    <row r="19" spans="1:11" s="6" customFormat="1" ht="33" customHeight="1" x14ac:dyDescent="0.2">
      <c r="A19" s="134">
        <f t="shared" si="1"/>
        <v>1.05</v>
      </c>
      <c r="B19" s="138" t="s">
        <v>105</v>
      </c>
      <c r="C19" s="136">
        <v>1</v>
      </c>
      <c r="D19" s="63" t="s">
        <v>13</v>
      </c>
      <c r="E19" s="146"/>
      <c r="F19" s="137">
        <f t="shared" si="0"/>
        <v>0</v>
      </c>
      <c r="G19" s="112"/>
      <c r="H19" s="9"/>
      <c r="I19" s="105"/>
      <c r="J19" s="108"/>
    </row>
    <row r="20" spans="1:11" s="6" customFormat="1" ht="33" customHeight="1" x14ac:dyDescent="0.2">
      <c r="A20" s="134">
        <f t="shared" si="1"/>
        <v>1.06</v>
      </c>
      <c r="B20" s="138" t="s">
        <v>59</v>
      </c>
      <c r="C20" s="136">
        <v>10.09</v>
      </c>
      <c r="D20" s="63" t="s">
        <v>15</v>
      </c>
      <c r="E20" s="146"/>
      <c r="F20" s="137">
        <f t="shared" si="0"/>
        <v>0</v>
      </c>
      <c r="G20" s="112"/>
      <c r="H20" s="9"/>
      <c r="I20" s="105">
        <v>8.77</v>
      </c>
      <c r="J20" s="108">
        <f>I20*1.15</f>
        <v>10.085499999999998</v>
      </c>
      <c r="K20" s="6" t="s">
        <v>19</v>
      </c>
    </row>
    <row r="21" spans="1:11" s="6" customFormat="1" ht="33" customHeight="1" x14ac:dyDescent="0.2">
      <c r="A21" s="134">
        <f t="shared" si="1"/>
        <v>1.07</v>
      </c>
      <c r="B21" s="138" t="s">
        <v>79</v>
      </c>
      <c r="C21" s="136">
        <v>46.13</v>
      </c>
      <c r="D21" s="63" t="s">
        <v>15</v>
      </c>
      <c r="E21" s="146"/>
      <c r="F21" s="137">
        <f t="shared" si="0"/>
        <v>0</v>
      </c>
      <c r="G21" s="112"/>
      <c r="H21" s="9"/>
      <c r="I21" s="105">
        <f>13.98*3</f>
        <v>41.94</v>
      </c>
      <c r="J21" s="108">
        <f>I21*1.1</f>
        <v>46.134</v>
      </c>
    </row>
    <row r="22" spans="1:11" s="6" customFormat="1" ht="33" customHeight="1" x14ac:dyDescent="0.2">
      <c r="A22" s="134">
        <f t="shared" si="1"/>
        <v>1.08</v>
      </c>
      <c r="B22" s="138" t="s">
        <v>80</v>
      </c>
      <c r="C22" s="136">
        <v>1.32</v>
      </c>
      <c r="D22" s="63" t="s">
        <v>22</v>
      </c>
      <c r="E22" s="146"/>
      <c r="F22" s="137">
        <f t="shared" si="0"/>
        <v>0</v>
      </c>
      <c r="G22" s="112"/>
      <c r="H22" s="9"/>
      <c r="I22" s="105">
        <f>(0.35*1.7*0.18)+(1.26*1.7*0.13)+(0.4*1.7*0.22)+(1.13*3*0.18)</f>
        <v>1.1453599999999999</v>
      </c>
      <c r="J22" s="108">
        <f>I22*1.15</f>
        <v>1.3171639999999998</v>
      </c>
    </row>
    <row r="23" spans="1:11" s="6" customFormat="1" ht="23.45" customHeight="1" x14ac:dyDescent="0.2">
      <c r="A23" s="134">
        <f t="shared" si="1"/>
        <v>1.0900000000000001</v>
      </c>
      <c r="B23" s="135" t="s">
        <v>81</v>
      </c>
      <c r="C23" s="136">
        <v>10.09</v>
      </c>
      <c r="D23" s="63" t="s">
        <v>15</v>
      </c>
      <c r="E23" s="146"/>
      <c r="F23" s="137">
        <f t="shared" si="0"/>
        <v>0</v>
      </c>
      <c r="G23" s="112"/>
      <c r="H23" s="9"/>
      <c r="I23" s="105">
        <v>8.77</v>
      </c>
      <c r="J23" s="108">
        <f>I23*1.15</f>
        <v>10.085499999999998</v>
      </c>
    </row>
    <row r="24" spans="1:11" s="6" customFormat="1" ht="23.45" customHeight="1" x14ac:dyDescent="0.2">
      <c r="A24" s="134">
        <f t="shared" si="1"/>
        <v>1.1000000000000001</v>
      </c>
      <c r="B24" s="135" t="s">
        <v>82</v>
      </c>
      <c r="C24" s="136">
        <v>3.08</v>
      </c>
      <c r="D24" s="63" t="s">
        <v>15</v>
      </c>
      <c r="E24" s="146"/>
      <c r="F24" s="137">
        <f t="shared" si="0"/>
        <v>0</v>
      </c>
      <c r="G24" s="112"/>
      <c r="H24" s="9"/>
      <c r="I24" s="105">
        <f>(1.03*0.5)+(1.2*1.8)</f>
        <v>2.6750000000000003</v>
      </c>
      <c r="J24" s="108">
        <f>I24*1.15</f>
        <v>3.0762499999999999</v>
      </c>
    </row>
    <row r="25" spans="1:11" s="6" customFormat="1" ht="23.45" customHeight="1" x14ac:dyDescent="0.2">
      <c r="A25" s="134">
        <f t="shared" si="1"/>
        <v>1.1100000000000001</v>
      </c>
      <c r="B25" s="139" t="s">
        <v>55</v>
      </c>
      <c r="C25" s="136">
        <v>1</v>
      </c>
      <c r="D25" s="63" t="s">
        <v>13</v>
      </c>
      <c r="E25" s="146"/>
      <c r="F25" s="137">
        <f t="shared" si="0"/>
        <v>0</v>
      </c>
      <c r="G25" s="112"/>
      <c r="H25" s="9"/>
      <c r="I25" s="105">
        <v>1</v>
      </c>
      <c r="J25" s="108">
        <v>1</v>
      </c>
    </row>
    <row r="26" spans="1:11" s="6" customFormat="1" ht="22.9" customHeight="1" x14ac:dyDescent="0.2">
      <c r="A26" s="134">
        <f t="shared" si="1"/>
        <v>1.1200000000000001</v>
      </c>
      <c r="B26" s="139" t="s">
        <v>83</v>
      </c>
      <c r="C26" s="136">
        <v>10.09</v>
      </c>
      <c r="D26" s="63" t="s">
        <v>15</v>
      </c>
      <c r="E26" s="146"/>
      <c r="F26" s="137">
        <f t="shared" si="0"/>
        <v>0</v>
      </c>
      <c r="G26" s="112"/>
      <c r="H26" s="9"/>
      <c r="I26" s="105">
        <v>8.77</v>
      </c>
      <c r="J26" s="108">
        <f>I26*1.15</f>
        <v>10.085499999999998</v>
      </c>
    </row>
    <row r="27" spans="1:11" s="6" customFormat="1" ht="32.450000000000003" customHeight="1" x14ac:dyDescent="0.2">
      <c r="A27" s="134">
        <f t="shared" si="1"/>
        <v>1.1300000000000001</v>
      </c>
      <c r="B27" s="140" t="s">
        <v>84</v>
      </c>
      <c r="C27" s="136">
        <v>1</v>
      </c>
      <c r="D27" s="63" t="s">
        <v>13</v>
      </c>
      <c r="E27" s="146"/>
      <c r="F27" s="137">
        <f t="shared" si="0"/>
        <v>0</v>
      </c>
      <c r="G27" s="112"/>
      <c r="H27" s="9"/>
      <c r="I27" s="105">
        <v>8.77</v>
      </c>
      <c r="J27" s="108">
        <f>I27*1.15</f>
        <v>10.085499999999998</v>
      </c>
    </row>
    <row r="28" spans="1:11" s="6" customFormat="1" ht="48" customHeight="1" x14ac:dyDescent="0.2">
      <c r="A28" s="134">
        <f t="shared" si="1"/>
        <v>1.1400000000000001</v>
      </c>
      <c r="B28" s="135" t="s">
        <v>56</v>
      </c>
      <c r="C28" s="136">
        <v>10.09</v>
      </c>
      <c r="D28" s="63" t="s">
        <v>15</v>
      </c>
      <c r="E28" s="146"/>
      <c r="F28" s="137">
        <f t="shared" si="0"/>
        <v>0</v>
      </c>
      <c r="G28" s="112"/>
      <c r="H28" s="9"/>
      <c r="I28" s="105">
        <v>8.77</v>
      </c>
      <c r="J28" s="108">
        <f>I28*1.15</f>
        <v>10.085499999999998</v>
      </c>
    </row>
    <row r="29" spans="1:11" s="6" customFormat="1" ht="43.9" customHeight="1" x14ac:dyDescent="0.2">
      <c r="A29" s="134">
        <f t="shared" si="1"/>
        <v>1.1500000000000001</v>
      </c>
      <c r="B29" s="135" t="s">
        <v>45</v>
      </c>
      <c r="C29" s="136">
        <v>54.4</v>
      </c>
      <c r="D29" s="63" t="s">
        <v>15</v>
      </c>
      <c r="E29" s="146"/>
      <c r="F29" s="137">
        <f t="shared" si="0"/>
        <v>0</v>
      </c>
      <c r="G29" s="112"/>
      <c r="H29" s="9"/>
      <c r="I29" s="105">
        <f>(13.98*3)+(2.68*2)</f>
        <v>47.3</v>
      </c>
      <c r="J29" s="108">
        <f>I29*1.15</f>
        <v>54.394999999999996</v>
      </c>
    </row>
    <row r="30" spans="1:11" s="6" customFormat="1" ht="45" customHeight="1" x14ac:dyDescent="0.2">
      <c r="A30" s="134">
        <f t="shared" si="1"/>
        <v>1.1600000000000001</v>
      </c>
      <c r="B30" s="135" t="s">
        <v>16</v>
      </c>
      <c r="C30" s="136">
        <v>1</v>
      </c>
      <c r="D30" s="63" t="s">
        <v>13</v>
      </c>
      <c r="E30" s="146"/>
      <c r="F30" s="137">
        <f t="shared" si="0"/>
        <v>0</v>
      </c>
      <c r="G30" s="112"/>
      <c r="H30" s="9"/>
      <c r="I30" s="105">
        <v>1</v>
      </c>
      <c r="J30" s="108">
        <v>1</v>
      </c>
    </row>
    <row r="31" spans="1:11" s="6" customFormat="1" ht="58.9" customHeight="1" x14ac:dyDescent="0.2">
      <c r="A31" s="134">
        <f t="shared" si="1"/>
        <v>1.1700000000000002</v>
      </c>
      <c r="B31" s="139" t="s">
        <v>75</v>
      </c>
      <c r="C31" s="136">
        <v>1</v>
      </c>
      <c r="D31" s="63" t="s">
        <v>13</v>
      </c>
      <c r="E31" s="146"/>
      <c r="F31" s="137">
        <f t="shared" si="0"/>
        <v>0</v>
      </c>
      <c r="G31" s="112"/>
      <c r="H31" s="9"/>
      <c r="I31" s="105">
        <v>1</v>
      </c>
      <c r="J31" s="108">
        <v>1</v>
      </c>
    </row>
    <row r="32" spans="1:11" s="6" customFormat="1" ht="72" customHeight="1" x14ac:dyDescent="0.2">
      <c r="A32" s="134">
        <f t="shared" si="1"/>
        <v>1.1800000000000002</v>
      </c>
      <c r="B32" s="139" t="s">
        <v>46</v>
      </c>
      <c r="C32" s="136">
        <v>1</v>
      </c>
      <c r="D32" s="63" t="s">
        <v>13</v>
      </c>
      <c r="E32" s="146"/>
      <c r="F32" s="137">
        <f t="shared" si="0"/>
        <v>0</v>
      </c>
      <c r="G32" s="112"/>
      <c r="H32" s="9"/>
      <c r="I32" s="105">
        <v>1</v>
      </c>
      <c r="J32" s="108">
        <v>1</v>
      </c>
    </row>
    <row r="33" spans="1:11" s="6" customFormat="1" ht="72" customHeight="1" x14ac:dyDescent="0.2">
      <c r="A33" s="134">
        <f t="shared" si="1"/>
        <v>1.1900000000000002</v>
      </c>
      <c r="B33" s="139" t="s">
        <v>50</v>
      </c>
      <c r="C33" s="136">
        <v>1</v>
      </c>
      <c r="D33" s="63" t="s">
        <v>13</v>
      </c>
      <c r="E33" s="146"/>
      <c r="F33" s="137">
        <f t="shared" si="0"/>
        <v>0</v>
      </c>
      <c r="G33" s="112"/>
      <c r="H33" s="9"/>
      <c r="I33" s="105">
        <v>1</v>
      </c>
      <c r="J33" s="108">
        <v>1</v>
      </c>
    </row>
    <row r="34" spans="1:11" s="6" customFormat="1" ht="72" customHeight="1" x14ac:dyDescent="0.2">
      <c r="A34" s="134">
        <f t="shared" si="1"/>
        <v>1.2000000000000002</v>
      </c>
      <c r="B34" s="139" t="s">
        <v>47</v>
      </c>
      <c r="C34" s="136">
        <v>1</v>
      </c>
      <c r="D34" s="63" t="s">
        <v>13</v>
      </c>
      <c r="E34" s="146"/>
      <c r="F34" s="137">
        <f t="shared" si="0"/>
        <v>0</v>
      </c>
      <c r="G34" s="112"/>
      <c r="H34" s="9"/>
      <c r="I34" s="105">
        <v>1</v>
      </c>
      <c r="J34" s="108">
        <v>1</v>
      </c>
    </row>
    <row r="35" spans="1:11" s="6" customFormat="1" ht="72" customHeight="1" x14ac:dyDescent="0.2">
      <c r="A35" s="134">
        <f t="shared" si="1"/>
        <v>1.2100000000000002</v>
      </c>
      <c r="B35" s="139" t="s">
        <v>52</v>
      </c>
      <c r="C35" s="136">
        <v>1</v>
      </c>
      <c r="D35" s="63" t="s">
        <v>13</v>
      </c>
      <c r="E35" s="146"/>
      <c r="F35" s="137">
        <f t="shared" si="0"/>
        <v>0</v>
      </c>
      <c r="G35" s="112"/>
      <c r="H35" s="9"/>
      <c r="I35" s="105">
        <v>1</v>
      </c>
      <c r="J35" s="108">
        <v>1</v>
      </c>
    </row>
    <row r="36" spans="1:11" s="6" customFormat="1" ht="72" customHeight="1" x14ac:dyDescent="0.2">
      <c r="A36" s="134">
        <f t="shared" si="1"/>
        <v>1.2200000000000002</v>
      </c>
      <c r="B36" s="135" t="s">
        <v>48</v>
      </c>
      <c r="C36" s="136">
        <v>1</v>
      </c>
      <c r="D36" s="63" t="s">
        <v>14</v>
      </c>
      <c r="E36" s="146"/>
      <c r="F36" s="137">
        <f t="shared" si="0"/>
        <v>0</v>
      </c>
      <c r="G36" s="112"/>
      <c r="H36" s="9"/>
      <c r="I36" s="105">
        <v>1</v>
      </c>
      <c r="J36" s="108">
        <v>1</v>
      </c>
    </row>
    <row r="37" spans="1:11" s="6" customFormat="1" ht="72" customHeight="1" x14ac:dyDescent="0.2">
      <c r="A37" s="134">
        <f t="shared" si="1"/>
        <v>1.2300000000000002</v>
      </c>
      <c r="B37" s="135" t="s">
        <v>51</v>
      </c>
      <c r="C37" s="136">
        <v>1</v>
      </c>
      <c r="D37" s="63" t="s">
        <v>13</v>
      </c>
      <c r="E37" s="146"/>
      <c r="F37" s="137">
        <f t="shared" si="0"/>
        <v>0</v>
      </c>
      <c r="G37" s="112"/>
      <c r="H37" s="9"/>
      <c r="I37" s="105">
        <v>1</v>
      </c>
      <c r="J37" s="108">
        <v>1</v>
      </c>
      <c r="K37" s="6">
        <v>1</v>
      </c>
    </row>
    <row r="38" spans="1:11" s="6" customFormat="1" ht="72" customHeight="1" x14ac:dyDescent="0.2">
      <c r="A38" s="134">
        <f t="shared" si="1"/>
        <v>1.2400000000000002</v>
      </c>
      <c r="B38" s="135" t="s">
        <v>44</v>
      </c>
      <c r="C38" s="136">
        <v>1</v>
      </c>
      <c r="D38" s="63" t="s">
        <v>14</v>
      </c>
      <c r="E38" s="146"/>
      <c r="F38" s="137">
        <f t="shared" si="0"/>
        <v>0</v>
      </c>
      <c r="G38" s="112"/>
      <c r="H38" s="9"/>
      <c r="I38" s="105">
        <v>1</v>
      </c>
      <c r="J38" s="108">
        <v>1</v>
      </c>
    </row>
    <row r="39" spans="1:11" s="6" customFormat="1" ht="72" customHeight="1" x14ac:dyDescent="0.2">
      <c r="A39" s="134">
        <f t="shared" si="1"/>
        <v>1.2500000000000002</v>
      </c>
      <c r="B39" s="135" t="s">
        <v>57</v>
      </c>
      <c r="C39" s="136">
        <v>1</v>
      </c>
      <c r="D39" s="63" t="s">
        <v>14</v>
      </c>
      <c r="E39" s="146"/>
      <c r="F39" s="137">
        <f t="shared" si="0"/>
        <v>0</v>
      </c>
      <c r="G39" s="112"/>
      <c r="H39" s="9"/>
      <c r="I39" s="105">
        <v>1</v>
      </c>
      <c r="J39" s="108">
        <v>1</v>
      </c>
    </row>
    <row r="40" spans="1:11" s="6" customFormat="1" ht="72" customHeight="1" x14ac:dyDescent="0.2">
      <c r="A40" s="134">
        <f t="shared" si="1"/>
        <v>1.2600000000000002</v>
      </c>
      <c r="B40" s="135" t="s">
        <v>49</v>
      </c>
      <c r="C40" s="136">
        <v>1</v>
      </c>
      <c r="D40" s="63" t="s">
        <v>14</v>
      </c>
      <c r="E40" s="146"/>
      <c r="F40" s="137">
        <f t="shared" si="0"/>
        <v>0</v>
      </c>
      <c r="G40" s="112"/>
      <c r="H40" s="9"/>
      <c r="I40" s="109">
        <v>1</v>
      </c>
      <c r="J40" s="108">
        <v>1</v>
      </c>
    </row>
    <row r="41" spans="1:11" s="6" customFormat="1" ht="33.75" customHeight="1" x14ac:dyDescent="0.2">
      <c r="A41" s="134">
        <f t="shared" si="1"/>
        <v>1.2700000000000002</v>
      </c>
      <c r="B41" s="141" t="s">
        <v>58</v>
      </c>
      <c r="C41" s="136">
        <v>1</v>
      </c>
      <c r="D41" s="63" t="s">
        <v>20</v>
      </c>
      <c r="E41" s="146"/>
      <c r="F41" s="137">
        <f t="shared" si="0"/>
        <v>0</v>
      </c>
      <c r="G41" s="112"/>
      <c r="H41" s="9"/>
      <c r="I41" s="109">
        <v>1</v>
      </c>
      <c r="J41" s="108">
        <v>1</v>
      </c>
    </row>
    <row r="42" spans="1:11" s="6" customFormat="1" ht="27.75" customHeight="1" x14ac:dyDescent="0.2">
      <c r="A42" s="134">
        <f t="shared" si="1"/>
        <v>1.2800000000000002</v>
      </c>
      <c r="B42" s="135" t="s">
        <v>60</v>
      </c>
      <c r="C42" s="136">
        <v>4.43</v>
      </c>
      <c r="D42" s="63" t="s">
        <v>22</v>
      </c>
      <c r="E42" s="146"/>
      <c r="F42" s="137">
        <f t="shared" si="0"/>
        <v>0</v>
      </c>
      <c r="G42" s="112"/>
      <c r="H42" s="9"/>
      <c r="I42" s="109">
        <f>(I20*0.1*1.5)+(I22*1.5)+(I23*0.05*1.5)</f>
        <v>3.69129</v>
      </c>
      <c r="J42" s="108">
        <f>I42*1.2</f>
        <v>4.4295479999999996</v>
      </c>
    </row>
    <row r="43" spans="1:11" s="6" customFormat="1" ht="27.75" customHeight="1" x14ac:dyDescent="0.2">
      <c r="A43" s="134">
        <f t="shared" si="1"/>
        <v>1.2900000000000003</v>
      </c>
      <c r="B43" s="135" t="s">
        <v>21</v>
      </c>
      <c r="C43" s="136">
        <v>1</v>
      </c>
      <c r="D43" s="63" t="s">
        <v>13</v>
      </c>
      <c r="E43" s="146"/>
      <c r="F43" s="137">
        <f t="shared" si="0"/>
        <v>0</v>
      </c>
      <c r="G43" s="112"/>
      <c r="H43" s="9"/>
      <c r="I43" s="110">
        <v>1</v>
      </c>
      <c r="J43" s="108">
        <v>1</v>
      </c>
    </row>
    <row r="44" spans="1:11" s="6" customFormat="1" x14ac:dyDescent="0.25">
      <c r="A44" s="41"/>
      <c r="B44" s="42" t="s">
        <v>17</v>
      </c>
      <c r="C44" s="43"/>
      <c r="D44" s="44"/>
      <c r="E44" s="147"/>
      <c r="F44" s="45"/>
      <c r="G44" s="46">
        <f>SUM(F15:F43)</f>
        <v>0</v>
      </c>
    </row>
    <row r="45" spans="1:11" s="6" customFormat="1" x14ac:dyDescent="0.25">
      <c r="A45" s="115"/>
      <c r="B45" s="47"/>
      <c r="C45" s="39"/>
      <c r="D45" s="40"/>
      <c r="E45" s="148"/>
      <c r="F45" s="47"/>
      <c r="G45" s="112"/>
    </row>
    <row r="46" spans="1:11" s="6" customFormat="1" ht="30" x14ac:dyDescent="0.25">
      <c r="A46" s="114">
        <v>2</v>
      </c>
      <c r="B46" s="38" t="s">
        <v>74</v>
      </c>
      <c r="C46" s="39"/>
      <c r="D46" s="39"/>
      <c r="E46" s="149"/>
      <c r="F46" s="40"/>
      <c r="G46" s="112"/>
    </row>
    <row r="47" spans="1:11" s="6" customFormat="1" ht="19.899999999999999" customHeight="1" x14ac:dyDescent="0.2">
      <c r="A47" s="134">
        <f>A46+0.01</f>
        <v>2.0099999999999998</v>
      </c>
      <c r="B47" s="135" t="s">
        <v>85</v>
      </c>
      <c r="C47" s="136">
        <v>15.14</v>
      </c>
      <c r="D47" s="63" t="s">
        <v>15</v>
      </c>
      <c r="E47" s="146"/>
      <c r="F47" s="137">
        <f>C47*E47</f>
        <v>0</v>
      </c>
      <c r="G47" s="112"/>
      <c r="I47" s="106">
        <f>3.44*4</f>
        <v>13.76</v>
      </c>
      <c r="J47" s="107">
        <f>I47*1.1</f>
        <v>15.136000000000001</v>
      </c>
    </row>
    <row r="48" spans="1:11" s="6" customFormat="1" ht="28.15" customHeight="1" x14ac:dyDescent="0.25">
      <c r="A48" s="134">
        <f t="shared" ref="A48:A76" si="2">A47+0.01</f>
        <v>2.0199999999999996</v>
      </c>
      <c r="B48" s="140" t="s">
        <v>61</v>
      </c>
      <c r="C48" s="136">
        <v>2</v>
      </c>
      <c r="D48" s="142" t="s">
        <v>13</v>
      </c>
      <c r="E48" s="150"/>
      <c r="F48" s="137">
        <f t="shared" ref="F48:F76" si="3">C48*E48</f>
        <v>0</v>
      </c>
      <c r="G48" s="112"/>
      <c r="I48" s="103">
        <v>2</v>
      </c>
      <c r="J48" s="104">
        <v>2</v>
      </c>
    </row>
    <row r="49" spans="1:11" s="6" customFormat="1" ht="33.75" customHeight="1" x14ac:dyDescent="0.25">
      <c r="A49" s="134">
        <f t="shared" si="2"/>
        <v>2.0299999999999994</v>
      </c>
      <c r="B49" s="140" t="s">
        <v>62</v>
      </c>
      <c r="C49" s="136">
        <v>2</v>
      </c>
      <c r="D49" s="142" t="s">
        <v>13</v>
      </c>
      <c r="E49" s="150"/>
      <c r="F49" s="137">
        <f t="shared" si="3"/>
        <v>0</v>
      </c>
      <c r="G49" s="112"/>
      <c r="I49" s="103">
        <v>2</v>
      </c>
      <c r="J49" s="104">
        <v>2</v>
      </c>
    </row>
    <row r="50" spans="1:11" s="6" customFormat="1" ht="33.75" customHeight="1" x14ac:dyDescent="0.25">
      <c r="A50" s="134">
        <f t="shared" si="2"/>
        <v>2.0399999999999991</v>
      </c>
      <c r="B50" s="140" t="s">
        <v>86</v>
      </c>
      <c r="C50" s="136">
        <v>34.31</v>
      </c>
      <c r="D50" s="142" t="s">
        <v>15</v>
      </c>
      <c r="E50" s="150"/>
      <c r="F50" s="137">
        <f t="shared" si="3"/>
        <v>0</v>
      </c>
      <c r="G50" s="112"/>
      <c r="I50" s="103">
        <f>7.67*3.89</f>
        <v>29.836300000000001</v>
      </c>
      <c r="J50" s="104">
        <f>I50*1.15</f>
        <v>34.311745000000002</v>
      </c>
    </row>
    <row r="51" spans="1:11" s="6" customFormat="1" ht="33.75" customHeight="1" x14ac:dyDescent="0.25">
      <c r="A51" s="134">
        <f t="shared" si="2"/>
        <v>2.0499999999999989</v>
      </c>
      <c r="B51" s="140" t="s">
        <v>87</v>
      </c>
      <c r="C51" s="136">
        <v>4</v>
      </c>
      <c r="D51" s="142" t="s">
        <v>13</v>
      </c>
      <c r="E51" s="150"/>
      <c r="F51" s="137">
        <f t="shared" si="3"/>
        <v>0</v>
      </c>
      <c r="G51" s="112"/>
      <c r="I51" s="103">
        <v>4</v>
      </c>
      <c r="J51" s="104">
        <v>4</v>
      </c>
    </row>
    <row r="52" spans="1:11" s="6" customFormat="1" ht="33.75" customHeight="1" x14ac:dyDescent="0.25">
      <c r="A52" s="134">
        <f t="shared" si="2"/>
        <v>2.0599999999999987</v>
      </c>
      <c r="B52" s="140" t="s">
        <v>64</v>
      </c>
      <c r="C52" s="136">
        <v>27.7</v>
      </c>
      <c r="D52" s="142" t="s">
        <v>23</v>
      </c>
      <c r="E52" s="150"/>
      <c r="F52" s="137">
        <f t="shared" si="3"/>
        <v>0</v>
      </c>
      <c r="G52" s="112"/>
      <c r="I52" s="103">
        <f>1.8*1.3</f>
        <v>2.3400000000000003</v>
      </c>
      <c r="J52" s="104">
        <f>I52*1.1</f>
        <v>2.5740000000000007</v>
      </c>
      <c r="K52" s="6">
        <f>J52*10.76</f>
        <v>27.696240000000007</v>
      </c>
    </row>
    <row r="53" spans="1:11" s="6" customFormat="1" ht="33.75" customHeight="1" x14ac:dyDescent="0.25">
      <c r="A53" s="134">
        <f t="shared" si="2"/>
        <v>2.0699999999999985</v>
      </c>
      <c r="B53" s="140" t="s">
        <v>63</v>
      </c>
      <c r="C53" s="143">
        <v>27.7</v>
      </c>
      <c r="D53" s="144" t="s">
        <v>23</v>
      </c>
      <c r="E53" s="151"/>
      <c r="F53" s="137">
        <f t="shared" si="3"/>
        <v>0</v>
      </c>
      <c r="G53" s="112"/>
      <c r="I53" s="103">
        <f>1.8*1.3</f>
        <v>2.3400000000000003</v>
      </c>
      <c r="J53" s="104">
        <f>I53*1.1</f>
        <v>2.5740000000000007</v>
      </c>
    </row>
    <row r="54" spans="1:11" s="6" customFormat="1" ht="33.75" customHeight="1" x14ac:dyDescent="0.25">
      <c r="A54" s="134">
        <f t="shared" si="2"/>
        <v>2.0799999999999983</v>
      </c>
      <c r="B54" s="140" t="s">
        <v>106</v>
      </c>
      <c r="C54" s="143">
        <v>1</v>
      </c>
      <c r="D54" s="144" t="s">
        <v>13</v>
      </c>
      <c r="E54" s="151"/>
      <c r="F54" s="137">
        <f t="shared" si="3"/>
        <v>0</v>
      </c>
      <c r="G54" s="112"/>
      <c r="I54" s="103"/>
      <c r="J54" s="104"/>
    </row>
    <row r="55" spans="1:11" s="6" customFormat="1" ht="37.9" customHeight="1" x14ac:dyDescent="0.25">
      <c r="A55" s="134">
        <f t="shared" si="2"/>
        <v>2.0899999999999981</v>
      </c>
      <c r="B55" s="140" t="s">
        <v>88</v>
      </c>
      <c r="C55" s="136">
        <v>0.55000000000000004</v>
      </c>
      <c r="D55" s="142" t="s">
        <v>22</v>
      </c>
      <c r="E55" s="150"/>
      <c r="F55" s="137">
        <f t="shared" si="3"/>
        <v>0</v>
      </c>
      <c r="G55" s="112"/>
      <c r="I55" s="103">
        <f>1.8*1.2*0.22</f>
        <v>0.47520000000000001</v>
      </c>
      <c r="J55" s="104">
        <f>I55*1.15</f>
        <v>0.54647999999999997</v>
      </c>
    </row>
    <row r="56" spans="1:11" s="6" customFormat="1" ht="30" customHeight="1" x14ac:dyDescent="0.25">
      <c r="A56" s="134">
        <f t="shared" si="2"/>
        <v>2.0999999999999979</v>
      </c>
      <c r="B56" s="140" t="s">
        <v>89</v>
      </c>
      <c r="C56" s="136">
        <v>1</v>
      </c>
      <c r="D56" s="142" t="s">
        <v>13</v>
      </c>
      <c r="E56" s="150"/>
      <c r="F56" s="137">
        <f t="shared" si="3"/>
        <v>0</v>
      </c>
      <c r="G56" s="112"/>
      <c r="I56" s="103">
        <v>1</v>
      </c>
      <c r="J56" s="104">
        <v>1</v>
      </c>
    </row>
    <row r="57" spans="1:11" s="6" customFormat="1" ht="37.9" customHeight="1" x14ac:dyDescent="0.25">
      <c r="A57" s="134">
        <f t="shared" si="2"/>
        <v>2.1099999999999977</v>
      </c>
      <c r="B57" s="140" t="s">
        <v>90</v>
      </c>
      <c r="C57" s="136">
        <v>1</v>
      </c>
      <c r="D57" s="142" t="s">
        <v>13</v>
      </c>
      <c r="E57" s="150"/>
      <c r="F57" s="137">
        <f t="shared" si="3"/>
        <v>0</v>
      </c>
      <c r="G57" s="112"/>
      <c r="I57" s="103">
        <v>1</v>
      </c>
      <c r="J57" s="104">
        <v>1</v>
      </c>
    </row>
    <row r="58" spans="1:11" s="6" customFormat="1" ht="33.75" customHeight="1" x14ac:dyDescent="0.25">
      <c r="A58" s="134">
        <f t="shared" si="2"/>
        <v>2.1199999999999974</v>
      </c>
      <c r="B58" s="140" t="s">
        <v>91</v>
      </c>
      <c r="C58" s="136">
        <v>1</v>
      </c>
      <c r="D58" s="142" t="s">
        <v>15</v>
      </c>
      <c r="E58" s="150"/>
      <c r="F58" s="137">
        <f t="shared" si="3"/>
        <v>0</v>
      </c>
      <c r="G58" s="112"/>
      <c r="I58" s="103">
        <v>1</v>
      </c>
      <c r="J58" s="104">
        <v>1</v>
      </c>
    </row>
    <row r="59" spans="1:11" s="6" customFormat="1" ht="33.75" customHeight="1" x14ac:dyDescent="0.25">
      <c r="A59" s="134">
        <f t="shared" si="2"/>
        <v>2.1299999999999972</v>
      </c>
      <c r="B59" s="140" t="s">
        <v>100</v>
      </c>
      <c r="C59" s="136">
        <v>12.42</v>
      </c>
      <c r="D59" s="142" t="s">
        <v>15</v>
      </c>
      <c r="E59" s="150"/>
      <c r="F59" s="137">
        <f t="shared" si="3"/>
        <v>0</v>
      </c>
      <c r="G59" s="112"/>
      <c r="I59" s="103">
        <f>(1.22+0.93+0.55)*4</f>
        <v>10.8</v>
      </c>
      <c r="J59" s="104">
        <f>I59*1.15</f>
        <v>12.42</v>
      </c>
    </row>
    <row r="60" spans="1:11" s="6" customFormat="1" ht="33.75" customHeight="1" x14ac:dyDescent="0.25">
      <c r="A60" s="134">
        <f t="shared" si="2"/>
        <v>2.139999999999997</v>
      </c>
      <c r="B60" s="140" t="s">
        <v>101</v>
      </c>
      <c r="C60" s="136">
        <v>5.82</v>
      </c>
      <c r="D60" s="142" t="s">
        <v>102</v>
      </c>
      <c r="E60" s="150"/>
      <c r="F60" s="137">
        <f t="shared" si="3"/>
        <v>0</v>
      </c>
      <c r="G60" s="112"/>
      <c r="I60" s="103">
        <f>4.85</f>
        <v>4.8499999999999996</v>
      </c>
      <c r="J60" s="104">
        <f>I60*1.2</f>
        <v>5.8199999999999994</v>
      </c>
    </row>
    <row r="61" spans="1:11" s="6" customFormat="1" ht="33.75" customHeight="1" x14ac:dyDescent="0.25">
      <c r="A61" s="134">
        <f t="shared" si="2"/>
        <v>2.1499999999999968</v>
      </c>
      <c r="B61" s="140" t="s">
        <v>111</v>
      </c>
      <c r="C61" s="136">
        <v>5.3</v>
      </c>
      <c r="D61" s="142" t="s">
        <v>15</v>
      </c>
      <c r="E61" s="150"/>
      <c r="F61" s="137">
        <f t="shared" si="3"/>
        <v>0</v>
      </c>
      <c r="G61" s="112"/>
      <c r="I61" s="103">
        <f>((3.85*0.95)+(1*0.95))</f>
        <v>4.6074999999999999</v>
      </c>
      <c r="J61" s="104">
        <f>I61*1.15</f>
        <v>5.2986249999999995</v>
      </c>
    </row>
    <row r="62" spans="1:11" s="6" customFormat="1" ht="33.75" customHeight="1" x14ac:dyDescent="0.25">
      <c r="A62" s="134">
        <f t="shared" si="2"/>
        <v>2.1599999999999966</v>
      </c>
      <c r="B62" s="140" t="s">
        <v>107</v>
      </c>
      <c r="C62" s="136">
        <v>5</v>
      </c>
      <c r="D62" s="142" t="s">
        <v>13</v>
      </c>
      <c r="E62" s="150"/>
      <c r="F62" s="137">
        <f t="shared" si="3"/>
        <v>0</v>
      </c>
      <c r="G62" s="112"/>
      <c r="I62" s="103"/>
      <c r="J62" s="104"/>
    </row>
    <row r="63" spans="1:11" s="6" customFormat="1" ht="33.75" customHeight="1" x14ac:dyDescent="0.25">
      <c r="A63" s="134">
        <f t="shared" si="2"/>
        <v>2.1699999999999964</v>
      </c>
      <c r="B63" s="140" t="s">
        <v>103</v>
      </c>
      <c r="C63" s="136">
        <v>75.77</v>
      </c>
      <c r="D63" s="142" t="s">
        <v>23</v>
      </c>
      <c r="E63" s="150"/>
      <c r="F63" s="137">
        <f t="shared" si="3"/>
        <v>0</v>
      </c>
      <c r="G63" s="112"/>
      <c r="I63" s="103">
        <f>4.85*1.32</f>
        <v>6.4020000000000001</v>
      </c>
      <c r="J63" s="104">
        <f>I63*1.1</f>
        <v>7.0422000000000011</v>
      </c>
      <c r="K63" s="6">
        <f>J63*10.76</f>
        <v>75.774072000000004</v>
      </c>
    </row>
    <row r="64" spans="1:11" s="6" customFormat="1" ht="33.75" customHeight="1" x14ac:dyDescent="0.25">
      <c r="A64" s="134">
        <f t="shared" si="2"/>
        <v>2.1799999999999962</v>
      </c>
      <c r="B64" s="140" t="s">
        <v>108</v>
      </c>
      <c r="C64" s="136">
        <v>5</v>
      </c>
      <c r="D64" s="142" t="s">
        <v>13</v>
      </c>
      <c r="E64" s="150"/>
      <c r="F64" s="137">
        <f t="shared" si="3"/>
        <v>0</v>
      </c>
      <c r="G64" s="112"/>
      <c r="I64" s="103"/>
      <c r="J64" s="104"/>
    </row>
    <row r="65" spans="1:10" s="6" customFormat="1" ht="33.75" customHeight="1" x14ac:dyDescent="0.25">
      <c r="A65" s="134">
        <f t="shared" si="2"/>
        <v>2.1899999999999959</v>
      </c>
      <c r="B65" s="140" t="s">
        <v>92</v>
      </c>
      <c r="C65" s="136">
        <v>25</v>
      </c>
      <c r="D65" s="142" t="s">
        <v>42</v>
      </c>
      <c r="E65" s="150"/>
      <c r="F65" s="137">
        <f t="shared" si="3"/>
        <v>0</v>
      </c>
      <c r="G65" s="112"/>
      <c r="I65" s="103"/>
      <c r="J65" s="104"/>
    </row>
    <row r="66" spans="1:10" s="6" customFormat="1" ht="33.75" customHeight="1" x14ac:dyDescent="0.25">
      <c r="A66" s="134">
        <f t="shared" si="2"/>
        <v>2.1999999999999957</v>
      </c>
      <c r="B66" s="140" t="s">
        <v>93</v>
      </c>
      <c r="C66" s="136">
        <v>1</v>
      </c>
      <c r="D66" s="142" t="s">
        <v>13</v>
      </c>
      <c r="E66" s="150"/>
      <c r="F66" s="137">
        <f t="shared" si="3"/>
        <v>0</v>
      </c>
      <c r="G66" s="112"/>
      <c r="I66" s="103"/>
      <c r="J66" s="104"/>
    </row>
    <row r="67" spans="1:10" s="6" customFormat="1" ht="33.75" customHeight="1" x14ac:dyDescent="0.25">
      <c r="A67" s="134">
        <f t="shared" si="2"/>
        <v>2.2099999999999955</v>
      </c>
      <c r="B67" s="140" t="s">
        <v>94</v>
      </c>
      <c r="C67" s="136">
        <v>1</v>
      </c>
      <c r="D67" s="142" t="s">
        <v>13</v>
      </c>
      <c r="E67" s="150"/>
      <c r="F67" s="137">
        <f t="shared" si="3"/>
        <v>0</v>
      </c>
      <c r="G67" s="112"/>
      <c r="I67" s="103"/>
      <c r="J67" s="104"/>
    </row>
    <row r="68" spans="1:10" s="6" customFormat="1" ht="33.75" customHeight="1" x14ac:dyDescent="0.25">
      <c r="A68" s="134">
        <f t="shared" si="2"/>
        <v>2.2199999999999953</v>
      </c>
      <c r="B68" s="140" t="s">
        <v>95</v>
      </c>
      <c r="C68" s="136">
        <v>14</v>
      </c>
      <c r="D68" s="142" t="s">
        <v>42</v>
      </c>
      <c r="E68" s="150"/>
      <c r="F68" s="137">
        <f t="shared" si="3"/>
        <v>0</v>
      </c>
      <c r="G68" s="112"/>
      <c r="I68" s="103"/>
      <c r="J68" s="104"/>
    </row>
    <row r="69" spans="1:10" s="6" customFormat="1" ht="33" customHeight="1" x14ac:dyDescent="0.25">
      <c r="A69" s="134">
        <f t="shared" si="2"/>
        <v>2.2299999999999951</v>
      </c>
      <c r="B69" s="140" t="s">
        <v>65</v>
      </c>
      <c r="C69" s="136">
        <v>34.31</v>
      </c>
      <c r="D69" s="142" t="s">
        <v>15</v>
      </c>
      <c r="E69" s="150"/>
      <c r="F69" s="137">
        <f t="shared" si="3"/>
        <v>0</v>
      </c>
      <c r="G69" s="112"/>
      <c r="I69" s="103">
        <f>7.67*3.89</f>
        <v>29.836300000000001</v>
      </c>
      <c r="J69" s="104">
        <f>I69*1.15</f>
        <v>34.311745000000002</v>
      </c>
    </row>
    <row r="70" spans="1:10" s="6" customFormat="1" ht="33" customHeight="1" x14ac:dyDescent="0.25">
      <c r="A70" s="134">
        <f t="shared" si="2"/>
        <v>2.2399999999999949</v>
      </c>
      <c r="B70" s="140" t="s">
        <v>84</v>
      </c>
      <c r="C70" s="136">
        <v>12</v>
      </c>
      <c r="D70" s="142" t="s">
        <v>13</v>
      </c>
      <c r="E70" s="150"/>
      <c r="F70" s="137">
        <f t="shared" si="3"/>
        <v>0</v>
      </c>
      <c r="G70" s="112"/>
      <c r="I70" s="103">
        <v>12</v>
      </c>
      <c r="J70" s="104">
        <v>12</v>
      </c>
    </row>
    <row r="71" spans="1:10" s="6" customFormat="1" ht="35.450000000000003" customHeight="1" x14ac:dyDescent="0.25">
      <c r="A71" s="134">
        <f t="shared" si="2"/>
        <v>2.2499999999999947</v>
      </c>
      <c r="B71" s="135" t="s">
        <v>66</v>
      </c>
      <c r="C71" s="136">
        <v>150</v>
      </c>
      <c r="D71" s="142" t="s">
        <v>15</v>
      </c>
      <c r="E71" s="150"/>
      <c r="F71" s="137">
        <f t="shared" si="3"/>
        <v>0</v>
      </c>
      <c r="G71" s="112"/>
      <c r="H71" s="9"/>
      <c r="I71" s="103">
        <f>(22.92*3)</f>
        <v>68.760000000000005</v>
      </c>
      <c r="J71" s="104">
        <f>I71*1.15</f>
        <v>79.073999999999998</v>
      </c>
    </row>
    <row r="72" spans="1:10" s="6" customFormat="1" ht="33.6" customHeight="1" x14ac:dyDescent="0.25">
      <c r="A72" s="134">
        <f t="shared" si="2"/>
        <v>2.2599999999999945</v>
      </c>
      <c r="B72" s="140" t="s">
        <v>96</v>
      </c>
      <c r="C72" s="136">
        <v>2</v>
      </c>
      <c r="D72" s="142" t="s">
        <v>13</v>
      </c>
      <c r="E72" s="150"/>
      <c r="F72" s="137">
        <f t="shared" si="3"/>
        <v>0</v>
      </c>
      <c r="G72" s="112"/>
      <c r="H72" s="9"/>
      <c r="I72" s="103"/>
      <c r="J72" s="104">
        <f t="shared" ref="J72:J76" si="4">I72*1.1</f>
        <v>0</v>
      </c>
    </row>
    <row r="73" spans="1:10" s="6" customFormat="1" ht="33.6" customHeight="1" x14ac:dyDescent="0.25">
      <c r="A73" s="134">
        <f t="shared" si="2"/>
        <v>2.2699999999999942</v>
      </c>
      <c r="B73" s="140" t="s">
        <v>109</v>
      </c>
      <c r="C73" s="136">
        <v>1</v>
      </c>
      <c r="D73" s="142" t="s">
        <v>13</v>
      </c>
      <c r="E73" s="150"/>
      <c r="F73" s="137">
        <f t="shared" si="3"/>
        <v>0</v>
      </c>
      <c r="G73" s="112"/>
      <c r="H73" s="9"/>
      <c r="I73" s="103"/>
      <c r="J73" s="104"/>
    </row>
    <row r="74" spans="1:10" s="6" customFormat="1" ht="33.6" customHeight="1" x14ac:dyDescent="0.25">
      <c r="A74" s="134">
        <f t="shared" si="2"/>
        <v>2.279999999999994</v>
      </c>
      <c r="B74" s="140" t="s">
        <v>110</v>
      </c>
      <c r="C74" s="136">
        <v>1</v>
      </c>
      <c r="D74" s="142" t="s">
        <v>13</v>
      </c>
      <c r="E74" s="150"/>
      <c r="F74" s="137">
        <f t="shared" si="3"/>
        <v>0</v>
      </c>
      <c r="G74" s="112"/>
      <c r="H74" s="9"/>
      <c r="I74" s="103"/>
      <c r="J74" s="104"/>
    </row>
    <row r="75" spans="1:10" s="6" customFormat="1" ht="24" customHeight="1" x14ac:dyDescent="0.25">
      <c r="A75" s="134">
        <f t="shared" si="2"/>
        <v>2.2899999999999938</v>
      </c>
      <c r="B75" s="140" t="s">
        <v>68</v>
      </c>
      <c r="C75" s="136">
        <v>1</v>
      </c>
      <c r="D75" s="142" t="s">
        <v>67</v>
      </c>
      <c r="E75" s="150"/>
      <c r="F75" s="137">
        <f t="shared" si="3"/>
        <v>0</v>
      </c>
      <c r="G75" s="112"/>
      <c r="H75" s="9"/>
      <c r="I75" s="103"/>
      <c r="J75" s="104">
        <f t="shared" si="4"/>
        <v>0</v>
      </c>
    </row>
    <row r="76" spans="1:10" s="6" customFormat="1" ht="22.5" customHeight="1" x14ac:dyDescent="0.2">
      <c r="A76" s="134">
        <f t="shared" si="2"/>
        <v>2.2999999999999936</v>
      </c>
      <c r="B76" s="140" t="s">
        <v>69</v>
      </c>
      <c r="C76" s="136">
        <v>1</v>
      </c>
      <c r="D76" s="63" t="s">
        <v>67</v>
      </c>
      <c r="E76" s="150"/>
      <c r="F76" s="137">
        <f t="shared" si="3"/>
        <v>0</v>
      </c>
      <c r="G76" s="112"/>
      <c r="I76" s="105">
        <f>(4.79+1.4+1.9)*0.2*0.2</f>
        <v>0.32360000000000005</v>
      </c>
      <c r="J76" s="104">
        <f t="shared" si="4"/>
        <v>0.35596000000000011</v>
      </c>
    </row>
    <row r="77" spans="1:10" s="6" customFormat="1" x14ac:dyDescent="0.25">
      <c r="A77" s="41"/>
      <c r="B77" s="42" t="s">
        <v>17</v>
      </c>
      <c r="C77" s="43"/>
      <c r="D77" s="44"/>
      <c r="E77" s="147"/>
      <c r="F77" s="45"/>
      <c r="G77" s="46">
        <f>SUM(F47:F76)</f>
        <v>0</v>
      </c>
    </row>
    <row r="78" spans="1:10" s="6" customFormat="1" x14ac:dyDescent="0.25">
      <c r="A78" s="113"/>
      <c r="B78" s="52"/>
      <c r="C78" s="39"/>
      <c r="D78" s="53"/>
      <c r="E78" s="149"/>
      <c r="F78" s="54"/>
      <c r="G78" s="112"/>
    </row>
    <row r="79" spans="1:10" s="6" customFormat="1" x14ac:dyDescent="0.25">
      <c r="A79" s="114">
        <v>3</v>
      </c>
      <c r="B79" s="38" t="s">
        <v>70</v>
      </c>
      <c r="C79" s="39"/>
      <c r="D79" s="39"/>
      <c r="E79" s="149"/>
      <c r="F79" s="40"/>
      <c r="G79" s="112"/>
    </row>
    <row r="80" spans="1:10" s="6" customFormat="1" ht="35.450000000000003" customHeight="1" x14ac:dyDescent="0.25">
      <c r="A80" s="134">
        <f t="shared" ref="A80" si="5">A79+0.01</f>
        <v>3.01</v>
      </c>
      <c r="B80" s="135" t="s">
        <v>66</v>
      </c>
      <c r="C80" s="136">
        <v>150</v>
      </c>
      <c r="D80" s="142" t="s">
        <v>15</v>
      </c>
      <c r="E80" s="150"/>
      <c r="F80" s="137">
        <f t="shared" ref="F80" si="6">C80*E80</f>
        <v>0</v>
      </c>
      <c r="G80" s="112"/>
      <c r="H80" s="9"/>
      <c r="I80" s="103">
        <f>(22.92*3)</f>
        <v>68.760000000000005</v>
      </c>
      <c r="J80" s="104">
        <f>I80*1.15</f>
        <v>79.073999999999998</v>
      </c>
    </row>
    <row r="81" spans="1:13" s="6" customFormat="1" ht="18.600000000000001" customHeight="1" x14ac:dyDescent="0.25">
      <c r="A81" s="134">
        <f t="shared" ref="A81:A83" si="7">A80+0.01</f>
        <v>3.0199999999999996</v>
      </c>
      <c r="B81" s="140" t="s">
        <v>71</v>
      </c>
      <c r="C81" s="136">
        <v>1</v>
      </c>
      <c r="D81" s="142" t="s">
        <v>13</v>
      </c>
      <c r="E81" s="150"/>
      <c r="F81" s="137">
        <f>C81*E81</f>
        <v>0</v>
      </c>
      <c r="G81" s="112"/>
      <c r="I81" s="103">
        <f>(40.47-24.4)*0.85</f>
        <v>13.6595</v>
      </c>
      <c r="J81" s="104">
        <f>I81*1.1</f>
        <v>15.025450000000001</v>
      </c>
      <c r="M81" s="118"/>
    </row>
    <row r="82" spans="1:13" s="6" customFormat="1" ht="21" customHeight="1" x14ac:dyDescent="0.25">
      <c r="A82" s="134">
        <f t="shared" si="7"/>
        <v>3.0299999999999994</v>
      </c>
      <c r="B82" s="140" t="s">
        <v>72</v>
      </c>
      <c r="C82" s="136">
        <v>2</v>
      </c>
      <c r="D82" s="142" t="s">
        <v>13</v>
      </c>
      <c r="E82" s="150"/>
      <c r="F82" s="137">
        <f t="shared" ref="F82:F84" si="8">C82*E82</f>
        <v>0</v>
      </c>
      <c r="G82" s="112"/>
      <c r="I82" s="103"/>
      <c r="J82" s="104"/>
    </row>
    <row r="83" spans="1:13" s="6" customFormat="1" ht="21" customHeight="1" x14ac:dyDescent="0.25">
      <c r="A83" s="134">
        <f t="shared" si="7"/>
        <v>3.0399999999999991</v>
      </c>
      <c r="B83" s="140" t="s">
        <v>73</v>
      </c>
      <c r="C83" s="136">
        <v>1</v>
      </c>
      <c r="D83" s="142" t="s">
        <v>13</v>
      </c>
      <c r="E83" s="150"/>
      <c r="F83" s="137">
        <f t="shared" ref="F83" si="9">C83*E83</f>
        <v>0</v>
      </c>
      <c r="G83" s="112"/>
      <c r="I83" s="103"/>
      <c r="J83" s="104"/>
    </row>
    <row r="84" spans="1:13" s="6" customFormat="1" ht="23.25" customHeight="1" x14ac:dyDescent="0.25">
      <c r="A84" s="134">
        <f>A83+0.01</f>
        <v>3.0499999999999989</v>
      </c>
      <c r="B84" s="140" t="s">
        <v>21</v>
      </c>
      <c r="C84" s="136">
        <v>1</v>
      </c>
      <c r="D84" s="142" t="s">
        <v>67</v>
      </c>
      <c r="E84" s="150"/>
      <c r="F84" s="137">
        <f t="shared" si="8"/>
        <v>0</v>
      </c>
      <c r="G84" s="112"/>
      <c r="I84" s="103">
        <f>((40.47-24.4)*0.25)-1.5</f>
        <v>2.5175000000000001</v>
      </c>
      <c r="J84" s="104">
        <f>I84*1.25</f>
        <v>3.1468750000000001</v>
      </c>
    </row>
    <row r="85" spans="1:13" s="6" customFormat="1" x14ac:dyDescent="0.25">
      <c r="A85" s="41"/>
      <c r="B85" s="42" t="s">
        <v>17</v>
      </c>
      <c r="C85" s="43"/>
      <c r="D85" s="44"/>
      <c r="E85" s="147"/>
      <c r="F85" s="45"/>
      <c r="G85" s="46">
        <f>SUM(F80:F84)</f>
        <v>0</v>
      </c>
    </row>
    <row r="86" spans="1:13" s="6" customFormat="1" x14ac:dyDescent="0.25">
      <c r="A86" s="113"/>
      <c r="B86" s="52"/>
      <c r="C86" s="39"/>
      <c r="D86" s="53"/>
      <c r="E86" s="149"/>
      <c r="F86" s="54"/>
      <c r="G86" s="112"/>
    </row>
    <row r="87" spans="1:13" s="6" customFormat="1" x14ac:dyDescent="0.25">
      <c r="A87" s="114">
        <v>4</v>
      </c>
      <c r="B87" s="38" t="s">
        <v>76</v>
      </c>
      <c r="C87" s="39"/>
      <c r="D87" s="39"/>
      <c r="E87" s="149"/>
      <c r="F87" s="40"/>
      <c r="G87" s="112"/>
    </row>
    <row r="88" spans="1:13" s="6" customFormat="1" ht="35.450000000000003" customHeight="1" x14ac:dyDescent="0.25">
      <c r="A88" s="134">
        <f t="shared" ref="A88:A94" si="10">A87+0.01</f>
        <v>4.01</v>
      </c>
      <c r="B88" s="135" t="s">
        <v>97</v>
      </c>
      <c r="C88" s="136">
        <v>150</v>
      </c>
      <c r="D88" s="142" t="s">
        <v>15</v>
      </c>
      <c r="E88" s="150"/>
      <c r="F88" s="137">
        <f t="shared" ref="F88" si="11">C88*E88</f>
        <v>0</v>
      </c>
      <c r="G88" s="112"/>
      <c r="H88" s="9"/>
      <c r="I88" s="103">
        <f>(22.92*3)</f>
        <v>68.760000000000005</v>
      </c>
      <c r="J88" s="104">
        <f>I88*1.15</f>
        <v>79.073999999999998</v>
      </c>
    </row>
    <row r="89" spans="1:13" s="6" customFormat="1" ht="18.600000000000001" customHeight="1" x14ac:dyDescent="0.25">
      <c r="A89" s="134">
        <f t="shared" si="10"/>
        <v>4.0199999999999996</v>
      </c>
      <c r="B89" s="140" t="s">
        <v>98</v>
      </c>
      <c r="C89" s="136">
        <v>1</v>
      </c>
      <c r="D89" s="142" t="s">
        <v>13</v>
      </c>
      <c r="E89" s="150"/>
      <c r="F89" s="137">
        <f>C89*E89</f>
        <v>0</v>
      </c>
      <c r="G89" s="112"/>
      <c r="I89" s="103">
        <f>(40.47-24.4)*0.85</f>
        <v>13.6595</v>
      </c>
      <c r="J89" s="104">
        <f>I89*1.1</f>
        <v>15.025450000000001</v>
      </c>
      <c r="M89" s="118"/>
    </row>
    <row r="90" spans="1:13" s="6" customFormat="1" ht="47.45" customHeight="1" x14ac:dyDescent="0.25">
      <c r="A90" s="134">
        <f t="shared" si="10"/>
        <v>4.0299999999999994</v>
      </c>
      <c r="B90" s="140" t="s">
        <v>77</v>
      </c>
      <c r="C90" s="136">
        <v>1</v>
      </c>
      <c r="D90" s="142" t="s">
        <v>13</v>
      </c>
      <c r="E90" s="150"/>
      <c r="F90" s="137">
        <f t="shared" ref="F90:F94" si="12">C90*E90</f>
        <v>0</v>
      </c>
      <c r="G90" s="112"/>
      <c r="I90" s="103"/>
      <c r="J90" s="104"/>
    </row>
    <row r="91" spans="1:13" s="6" customFormat="1" ht="60" customHeight="1" x14ac:dyDescent="0.25">
      <c r="A91" s="134">
        <f t="shared" si="10"/>
        <v>4.0399999999999991</v>
      </c>
      <c r="B91" s="140" t="s">
        <v>99</v>
      </c>
      <c r="C91" s="136">
        <v>1</v>
      </c>
      <c r="D91" s="142" t="s">
        <v>13</v>
      </c>
      <c r="E91" s="150"/>
      <c r="F91" s="137">
        <f t="shared" si="12"/>
        <v>0</v>
      </c>
      <c r="G91" s="112"/>
      <c r="I91" s="103"/>
      <c r="J91" s="104"/>
    </row>
    <row r="92" spans="1:13" s="6" customFormat="1" ht="33.6" customHeight="1" x14ac:dyDescent="0.25">
      <c r="A92" s="134">
        <f t="shared" si="10"/>
        <v>4.0499999999999989</v>
      </c>
      <c r="B92" s="140" t="s">
        <v>66</v>
      </c>
      <c r="C92" s="143">
        <v>50</v>
      </c>
      <c r="D92" s="144" t="s">
        <v>15</v>
      </c>
      <c r="E92" s="151"/>
      <c r="F92" s="145">
        <f t="shared" si="12"/>
        <v>0</v>
      </c>
      <c r="G92" s="112"/>
      <c r="I92" s="103">
        <f>4.59*7.04*0.8</f>
        <v>25.850880000000004</v>
      </c>
      <c r="J92" s="104">
        <f>I92*1.1</f>
        <v>28.435968000000006</v>
      </c>
    </row>
    <row r="93" spans="1:13" s="6" customFormat="1" ht="33.6" customHeight="1" x14ac:dyDescent="0.25">
      <c r="A93" s="134">
        <f t="shared" si="10"/>
        <v>4.0599999999999987</v>
      </c>
      <c r="B93" s="140" t="s">
        <v>104</v>
      </c>
      <c r="C93" s="143">
        <v>130</v>
      </c>
      <c r="D93" s="144" t="s">
        <v>15</v>
      </c>
      <c r="E93" s="151"/>
      <c r="F93" s="145">
        <f t="shared" si="12"/>
        <v>0</v>
      </c>
      <c r="G93" s="112"/>
      <c r="I93" s="103">
        <f>(4.2*7.87)+(8.8*8.02)</f>
        <v>103.63000000000001</v>
      </c>
      <c r="J93" s="104">
        <f>I93*1.25</f>
        <v>129.53750000000002</v>
      </c>
    </row>
    <row r="94" spans="1:13" s="6" customFormat="1" ht="23.25" customHeight="1" x14ac:dyDescent="0.25">
      <c r="A94" s="134">
        <f t="shared" si="10"/>
        <v>4.0699999999999985</v>
      </c>
      <c r="B94" s="140" t="s">
        <v>21</v>
      </c>
      <c r="C94" s="136">
        <v>1</v>
      </c>
      <c r="D94" s="142" t="s">
        <v>67</v>
      </c>
      <c r="E94" s="150"/>
      <c r="F94" s="137">
        <f t="shared" si="12"/>
        <v>0</v>
      </c>
      <c r="G94" s="112"/>
      <c r="I94" s="103">
        <f>((40.47-24.4)*0.25)-1.5</f>
        <v>2.5175000000000001</v>
      </c>
      <c r="J94" s="104">
        <f>I94*1.25</f>
        <v>3.1468750000000001</v>
      </c>
    </row>
    <row r="95" spans="1:13" s="6" customFormat="1" x14ac:dyDescent="0.25">
      <c r="A95" s="41"/>
      <c r="B95" s="42" t="s">
        <v>17</v>
      </c>
      <c r="C95" s="43"/>
      <c r="D95" s="44"/>
      <c r="E95" s="45"/>
      <c r="F95" s="45"/>
      <c r="G95" s="46">
        <f>SUM(F88:F94)</f>
        <v>0</v>
      </c>
    </row>
    <row r="96" spans="1:13" s="6" customFormat="1" x14ac:dyDescent="0.25">
      <c r="A96" s="113"/>
      <c r="B96" s="52"/>
      <c r="C96" s="39"/>
      <c r="D96" s="53"/>
      <c r="E96" s="40"/>
      <c r="F96" s="54"/>
      <c r="G96" s="112"/>
    </row>
    <row r="97" spans="1:9" x14ac:dyDescent="0.25">
      <c r="A97" s="48"/>
      <c r="B97" s="55" t="s">
        <v>24</v>
      </c>
      <c r="C97" s="49"/>
      <c r="D97" s="50"/>
      <c r="E97" s="49"/>
      <c r="F97" s="49"/>
      <c r="G97" s="51">
        <f>SUM(G15:G96)</f>
        <v>0</v>
      </c>
      <c r="I97" s="40"/>
    </row>
    <row r="98" spans="1:9" x14ac:dyDescent="0.25">
      <c r="A98" s="56"/>
      <c r="B98" s="11"/>
      <c r="C98" s="57"/>
      <c r="D98" s="58"/>
      <c r="E98" s="57"/>
      <c r="F98" s="59"/>
      <c r="G98" s="60"/>
      <c r="I98" s="111"/>
    </row>
    <row r="99" spans="1:9" x14ac:dyDescent="0.25">
      <c r="A99" s="61">
        <v>5</v>
      </c>
      <c r="B99" s="62" t="s">
        <v>25</v>
      </c>
      <c r="C99" s="57"/>
      <c r="D99" s="58"/>
      <c r="E99" s="57"/>
      <c r="F99" s="59"/>
      <c r="G99" s="60"/>
    </row>
    <row r="100" spans="1:9" ht="18.75" customHeight="1" x14ac:dyDescent="0.25">
      <c r="A100" s="63">
        <f>A99+0.01</f>
        <v>5.01</v>
      </c>
      <c r="B100" s="128" t="s">
        <v>26</v>
      </c>
      <c r="C100" s="128"/>
      <c r="D100" s="128"/>
      <c r="E100" s="64">
        <v>0.1</v>
      </c>
      <c r="F100" s="65"/>
      <c r="G100" s="66">
        <f>E100*$G$97</f>
        <v>0</v>
      </c>
    </row>
    <row r="101" spans="1:9" ht="18.75" customHeight="1" x14ac:dyDescent="0.25">
      <c r="A101" s="63">
        <f>A100+0.01</f>
        <v>5.0199999999999996</v>
      </c>
      <c r="B101" s="124" t="s">
        <v>27</v>
      </c>
      <c r="C101" s="125"/>
      <c r="D101" s="126"/>
      <c r="E101" s="64">
        <v>0.03</v>
      </c>
      <c r="F101" s="65"/>
      <c r="G101" s="66">
        <f>E101*$G$97</f>
        <v>0</v>
      </c>
    </row>
    <row r="102" spans="1:9" ht="18.75" customHeight="1" x14ac:dyDescent="0.25">
      <c r="A102" s="67">
        <f>A101+0.01</f>
        <v>5.0299999999999994</v>
      </c>
      <c r="B102" s="129" t="s">
        <v>28</v>
      </c>
      <c r="C102" s="130"/>
      <c r="D102" s="131"/>
      <c r="E102" s="68">
        <v>2.5000000000000001E-2</v>
      </c>
      <c r="F102" s="69"/>
      <c r="G102" s="66">
        <f>E102*$G$97</f>
        <v>0</v>
      </c>
    </row>
    <row r="103" spans="1:9" ht="18.75" customHeight="1" x14ac:dyDescent="0.25">
      <c r="A103" s="48"/>
      <c r="B103" s="55" t="s">
        <v>29</v>
      </c>
      <c r="C103" s="49"/>
      <c r="D103" s="50"/>
      <c r="E103" s="49"/>
      <c r="F103" s="49"/>
      <c r="G103" s="51">
        <f>SUM(G100:G102)</f>
        <v>0</v>
      </c>
    </row>
    <row r="104" spans="1:9" ht="18.75" customHeight="1" x14ac:dyDescent="0.25">
      <c r="A104" s="70"/>
      <c r="B104" s="11"/>
      <c r="C104" s="71"/>
      <c r="D104" s="72"/>
      <c r="E104" s="73"/>
      <c r="F104" s="74"/>
      <c r="G104" s="75"/>
    </row>
    <row r="105" spans="1:9" ht="18.75" customHeight="1" x14ac:dyDescent="0.25">
      <c r="A105" s="48"/>
      <c r="B105" s="55" t="s">
        <v>30</v>
      </c>
      <c r="C105" s="49"/>
      <c r="D105" s="50"/>
      <c r="E105" s="49"/>
      <c r="F105" s="49"/>
      <c r="G105" s="51">
        <f>G103+G97</f>
        <v>0</v>
      </c>
    </row>
    <row r="106" spans="1:9" ht="18.75" customHeight="1" x14ac:dyDescent="0.25">
      <c r="A106" s="70"/>
      <c r="B106" s="11"/>
      <c r="C106" s="71"/>
      <c r="D106" s="72"/>
      <c r="E106" s="73"/>
      <c r="F106" s="74"/>
      <c r="G106" s="75"/>
    </row>
    <row r="107" spans="1:9" ht="18.75" customHeight="1" x14ac:dyDescent="0.25">
      <c r="A107" s="76"/>
      <c r="B107" s="77" t="s">
        <v>31</v>
      </c>
      <c r="C107" s="78"/>
      <c r="D107" s="79"/>
      <c r="E107" s="80">
        <v>0.1</v>
      </c>
      <c r="F107" s="78"/>
      <c r="G107" s="51">
        <f>ROUND(G105*E107,2)</f>
        <v>0</v>
      </c>
    </row>
    <row r="108" spans="1:9" ht="18.75" customHeight="1" x14ac:dyDescent="0.25">
      <c r="A108" s="70"/>
      <c r="B108" s="11"/>
      <c r="C108" s="71"/>
      <c r="D108" s="72"/>
      <c r="E108" s="73"/>
      <c r="F108" s="74"/>
      <c r="G108" s="75"/>
    </row>
    <row r="109" spans="1:9" ht="18.75" customHeight="1" x14ac:dyDescent="0.25">
      <c r="A109" s="63">
        <f>A102+0.01</f>
        <v>5.0399999999999991</v>
      </c>
      <c r="B109" s="124" t="s">
        <v>32</v>
      </c>
      <c r="C109" s="125"/>
      <c r="D109" s="126"/>
      <c r="E109" s="81">
        <v>0.18</v>
      </c>
      <c r="F109" s="82"/>
      <c r="G109" s="66">
        <f>ROUND(E109*(SUM(G107)),2)</f>
        <v>0</v>
      </c>
    </row>
    <row r="110" spans="1:9" ht="18.75" customHeight="1" x14ac:dyDescent="0.25">
      <c r="A110" s="63">
        <f>A109+0.01</f>
        <v>5.0499999999999989</v>
      </c>
      <c r="B110" s="124" t="s">
        <v>33</v>
      </c>
      <c r="C110" s="125"/>
      <c r="D110" s="126"/>
      <c r="E110" s="81">
        <v>4.4999999999999998E-2</v>
      </c>
      <c r="F110" s="82"/>
      <c r="G110" s="66">
        <f>E110*G97</f>
        <v>0</v>
      </c>
    </row>
    <row r="111" spans="1:9" ht="18.75" customHeight="1" x14ac:dyDescent="0.25">
      <c r="A111" s="63">
        <f>A110+0.01</f>
        <v>5.0599999999999987</v>
      </c>
      <c r="B111" s="124" t="s">
        <v>34</v>
      </c>
      <c r="C111" s="125"/>
      <c r="D111" s="126"/>
      <c r="E111" s="81">
        <v>0.01</v>
      </c>
      <c r="F111" s="82"/>
      <c r="G111" s="66">
        <f>E111*G97</f>
        <v>0</v>
      </c>
    </row>
    <row r="112" spans="1:9" ht="18.75" customHeight="1" x14ac:dyDescent="0.25">
      <c r="A112" s="63">
        <f>A111+0.01</f>
        <v>5.0699999999999985</v>
      </c>
      <c r="B112" s="124" t="s">
        <v>35</v>
      </c>
      <c r="C112" s="125"/>
      <c r="D112" s="126"/>
      <c r="E112" s="81">
        <v>1E-3</v>
      </c>
      <c r="F112" s="82"/>
      <c r="G112" s="66">
        <f>E112*G97</f>
        <v>0</v>
      </c>
    </row>
    <row r="113" spans="1:8" ht="18.75" customHeight="1" x14ac:dyDescent="0.25">
      <c r="A113" s="63">
        <f>A112+0.01</f>
        <v>5.0799999999999983</v>
      </c>
      <c r="B113" s="124" t="s">
        <v>36</v>
      </c>
      <c r="C113" s="125"/>
      <c r="D113" s="126"/>
      <c r="E113" s="81">
        <v>0.01</v>
      </c>
      <c r="F113" s="82"/>
      <c r="G113" s="66">
        <f>E113*G97</f>
        <v>0</v>
      </c>
    </row>
    <row r="114" spans="1:8" ht="18.75" customHeight="1" x14ac:dyDescent="0.25">
      <c r="A114" s="63">
        <f>A113+0.01</f>
        <v>5.0899999999999981</v>
      </c>
      <c r="B114" s="124" t="s">
        <v>37</v>
      </c>
      <c r="C114" s="125"/>
      <c r="D114" s="126"/>
      <c r="E114" s="81">
        <v>0.02</v>
      </c>
      <c r="F114" s="82"/>
      <c r="G114" s="66">
        <f>E114*G97</f>
        <v>0</v>
      </c>
    </row>
    <row r="115" spans="1:8" ht="18.75" customHeight="1" x14ac:dyDescent="0.25">
      <c r="A115" s="83"/>
      <c r="B115" s="84" t="s">
        <v>38</v>
      </c>
      <c r="C115" s="85"/>
      <c r="D115" s="86"/>
      <c r="E115" s="87"/>
      <c r="F115" s="85"/>
      <c r="G115" s="51">
        <f>SUM(G109:G114)</f>
        <v>0</v>
      </c>
    </row>
    <row r="116" spans="1:8" ht="18.75" customHeight="1" x14ac:dyDescent="0.25">
      <c r="A116" s="88"/>
      <c r="B116" s="89"/>
      <c r="C116" s="90"/>
      <c r="D116" s="91"/>
      <c r="E116" s="92"/>
      <c r="F116" s="93"/>
      <c r="G116" s="94"/>
    </row>
    <row r="117" spans="1:8" ht="18.75" customHeight="1" x14ac:dyDescent="0.25">
      <c r="A117" s="76"/>
      <c r="B117" s="77" t="s">
        <v>39</v>
      </c>
      <c r="C117" s="78"/>
      <c r="D117" s="79"/>
      <c r="E117" s="95"/>
      <c r="F117" s="78"/>
      <c r="G117" s="51">
        <f>G115+G103</f>
        <v>0</v>
      </c>
    </row>
    <row r="118" spans="1:8" ht="18.75" customHeight="1" x14ac:dyDescent="0.25">
      <c r="A118" s="70"/>
      <c r="B118" s="11"/>
      <c r="C118" s="96"/>
      <c r="D118" s="72"/>
      <c r="E118" s="97"/>
      <c r="F118" s="98"/>
      <c r="G118" s="99"/>
    </row>
    <row r="119" spans="1:8" ht="18.75" customHeight="1" x14ac:dyDescent="0.25">
      <c r="A119" s="63">
        <f>A114+0.01</f>
        <v>5.0999999999999979</v>
      </c>
      <c r="B119" s="128" t="s">
        <v>40</v>
      </c>
      <c r="C119" s="128"/>
      <c r="D119" s="128"/>
      <c r="E119" s="64">
        <v>0.05</v>
      </c>
      <c r="F119" s="65"/>
      <c r="G119" s="65">
        <f>ROUND(G97*E119,2)</f>
        <v>0</v>
      </c>
    </row>
    <row r="120" spans="1:8" ht="18.75" customHeight="1" x14ac:dyDescent="0.25">
      <c r="A120" s="70"/>
      <c r="B120" s="11"/>
      <c r="C120" s="71"/>
      <c r="D120" s="72"/>
      <c r="E120" s="73"/>
      <c r="F120" s="74"/>
      <c r="G120" s="59"/>
    </row>
    <row r="121" spans="1:8" ht="18.75" customHeight="1" x14ac:dyDescent="0.25">
      <c r="A121" s="100"/>
      <c r="B121" s="77" t="s">
        <v>41</v>
      </c>
      <c r="C121" s="78"/>
      <c r="D121" s="79"/>
      <c r="E121" s="78"/>
      <c r="F121" s="78"/>
      <c r="G121" s="51">
        <f>G119+G117+G97</f>
        <v>0</v>
      </c>
      <c r="H121" s="10"/>
    </row>
    <row r="122" spans="1:8" x14ac:dyDescent="0.25">
      <c r="A122" s="101"/>
      <c r="B122" s="101"/>
      <c r="C122" s="101"/>
      <c r="D122" s="101"/>
      <c r="E122" s="101"/>
      <c r="F122" s="101"/>
      <c r="G122" s="101"/>
    </row>
    <row r="123" spans="1:8" x14ac:dyDescent="0.25">
      <c r="A123" s="38"/>
      <c r="B123" s="38"/>
      <c r="C123" s="38"/>
      <c r="D123" s="38"/>
      <c r="E123" s="38"/>
      <c r="F123" s="38"/>
      <c r="G123" s="38"/>
    </row>
    <row r="124" spans="1:8" x14ac:dyDescent="0.25">
      <c r="A124" s="38"/>
      <c r="B124" s="38"/>
      <c r="C124" s="38"/>
      <c r="D124" s="38"/>
      <c r="E124" s="38"/>
      <c r="F124" s="38"/>
      <c r="G124" s="38"/>
    </row>
    <row r="125" spans="1:8" x14ac:dyDescent="0.25">
      <c r="A125" s="38"/>
      <c r="B125" s="38"/>
      <c r="C125" s="38"/>
      <c r="D125" s="38"/>
      <c r="E125" s="38"/>
      <c r="F125" s="38"/>
      <c r="G125" s="38"/>
    </row>
    <row r="126" spans="1:8" x14ac:dyDescent="0.25">
      <c r="A126" s="38"/>
      <c r="B126" s="38"/>
      <c r="C126" s="38"/>
      <c r="D126" s="38"/>
      <c r="E126" s="38"/>
      <c r="F126" s="38"/>
      <c r="G126" s="38"/>
    </row>
    <row r="127" spans="1:8" x14ac:dyDescent="0.25">
      <c r="A127" s="38"/>
      <c r="B127" s="38"/>
      <c r="C127" s="38"/>
      <c r="D127" s="38"/>
      <c r="E127" s="38"/>
      <c r="F127" s="38"/>
      <c r="G127" s="38"/>
    </row>
    <row r="128" spans="1:8" x14ac:dyDescent="0.25">
      <c r="A128" s="7"/>
      <c r="B128" s="7"/>
      <c r="C128" s="7"/>
      <c r="D128" s="7"/>
      <c r="E128" s="7"/>
      <c r="F128" s="7"/>
      <c r="G128" s="7"/>
    </row>
    <row r="129" spans="1:7" x14ac:dyDescent="0.25">
      <c r="A129" s="7"/>
      <c r="B129" s="7"/>
      <c r="C129" s="7"/>
      <c r="D129" s="7"/>
      <c r="E129" s="7"/>
      <c r="F129" s="7"/>
      <c r="G129" s="7"/>
    </row>
    <row r="130" spans="1:7" x14ac:dyDescent="0.25">
      <c r="A130" s="7"/>
      <c r="B130" s="7"/>
      <c r="C130" s="7"/>
      <c r="D130" s="7"/>
      <c r="E130" s="7"/>
      <c r="F130" s="7"/>
      <c r="G130" s="7"/>
    </row>
    <row r="131" spans="1:7" x14ac:dyDescent="0.25">
      <c r="A131" s="7"/>
      <c r="B131" s="7"/>
      <c r="C131" s="7"/>
      <c r="D131" s="7"/>
      <c r="E131" s="7"/>
      <c r="F131" s="7"/>
      <c r="G131" s="7"/>
    </row>
    <row r="132" spans="1:7" x14ac:dyDescent="0.25">
      <c r="A132" s="7"/>
      <c r="B132" s="7"/>
      <c r="C132" s="7"/>
      <c r="D132" s="7"/>
      <c r="E132" s="7"/>
      <c r="F132" s="7"/>
      <c r="G132" s="7"/>
    </row>
    <row r="133" spans="1:7" x14ac:dyDescent="0.25">
      <c r="A133" s="7"/>
      <c r="B133" s="7"/>
      <c r="C133" s="7"/>
      <c r="D133" s="7"/>
      <c r="E133" s="7"/>
      <c r="F133" s="7"/>
      <c r="G133" s="7"/>
    </row>
    <row r="134" spans="1:7" x14ac:dyDescent="0.25">
      <c r="A134" s="7"/>
      <c r="B134" s="7"/>
      <c r="C134" s="7"/>
      <c r="D134" s="7"/>
      <c r="E134" s="7"/>
      <c r="F134" s="7"/>
      <c r="G134" s="7"/>
    </row>
  </sheetData>
  <sheetProtection password="8A36" sheet="1" objects="1" scenarios="1"/>
  <mergeCells count="16">
    <mergeCell ref="B113:D113"/>
    <mergeCell ref="B114:D114"/>
    <mergeCell ref="B119:D119"/>
    <mergeCell ref="B111:D111"/>
    <mergeCell ref="B100:D100"/>
    <mergeCell ref="B101:D101"/>
    <mergeCell ref="B102:D102"/>
    <mergeCell ref="B109:D109"/>
    <mergeCell ref="B110:D110"/>
    <mergeCell ref="B112:D112"/>
    <mergeCell ref="A9:G9"/>
    <mergeCell ref="A8:C8"/>
    <mergeCell ref="B2:C2"/>
    <mergeCell ref="A6:G6"/>
    <mergeCell ref="D8:F8"/>
    <mergeCell ref="A11:G11"/>
  </mergeCells>
  <phoneticPr fontId="4" type="noConversion"/>
  <printOptions horizontalCentered="1"/>
  <pageMargins left="0.31496062992125984" right="0.31496062992125984" top="0.70866141732283472" bottom="0.74803149606299213" header="0.31496062992125984" footer="0.31496062992125984"/>
  <pageSetup scale="65" orientation="portrait" r:id="rId1"/>
  <headerFooter>
    <oddFooter>&amp;RPágina &amp;P de &amp;N</oddFooter>
  </headerFooter>
  <rowBreaks count="1" manualBreakCount="1">
    <brk id="115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af61add-cf15-4341-ad7c-3bb05f38d729">
      <Terms xmlns="http://schemas.microsoft.com/office/infopath/2007/PartnerControls"/>
    </lcf76f155ced4ddcb4097134ff3c332f>
    <TaxCatchAll xmlns="ef3d409c-51e8-4a1c-b238-cf9f3673307b" xsi:nil="true"/>
    <SharedWithUsers xmlns="209cd0db-1aa9-466c-8933-4493a1504f63">
      <UserInfo>
        <DisplayName>Oscar E. Ozuna B.</DisplayName>
        <AccountId>13</AccountId>
        <AccountType/>
      </UserInfo>
      <UserInfo>
        <DisplayName>Carlos José Espinal Díaz</DisplayName>
        <AccountId>1070</AccountId>
        <AccountType/>
      </UserInfo>
      <UserInfo>
        <DisplayName>Rocio A. Altagracia A.</DisplayName>
        <AccountId>20</AccountId>
        <AccountType/>
      </UserInfo>
      <UserInfo>
        <DisplayName>Marielle S. De León Matos</DisplayName>
        <AccountId>1919</AccountId>
        <AccountType/>
      </UserInfo>
    </SharedWithUsers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6DDA2A-C541-4C52-BE6C-839FE31267F0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7c2dde16-be45-4d8b-ad45-405530d814ce"/>
    <ds:schemaRef ds:uri="05b54953-3c8d-4842-a3b9-4b22db9cbd3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7A67C23-F079-429A-8FB0-01484736D6EA}"/>
</file>

<file path=customXml/itemProps3.xml><?xml version="1.0" encoding="utf-8"?>
<ds:datastoreItem xmlns:ds="http://schemas.openxmlformats.org/officeDocument/2006/customXml" ds:itemID="{A72549F8-9EB5-468E-BCC2-22261574B5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Cant</vt:lpstr>
      <vt:lpstr>'Listado de Cant'!Área_de_impresión</vt:lpstr>
      <vt:lpstr>'Listado de Cant'!Títulos_a_imprimir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</dc:creator>
  <cp:keywords/>
  <dc:description/>
  <cp:lastModifiedBy>Oscar E. Ozuna B.</cp:lastModifiedBy>
  <cp:revision/>
  <cp:lastPrinted>2023-05-10T15:32:42Z</cp:lastPrinted>
  <dcterms:created xsi:type="dcterms:W3CDTF">2022-06-22T19:33:58Z</dcterms:created>
  <dcterms:modified xsi:type="dcterms:W3CDTF">2023-05-10T18:24:04Z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